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d.docs.live.net/09cf4175ee707a53/Desktop/LBO-Reps-app/site/templates/"/>
    </mc:Choice>
  </mc:AlternateContent>
  <xr:revisionPtr revIDLastSave="0" documentId="8_{65EE1D9E-6E86-4191-95C4-0D7157969FEC}" xr6:coauthVersionLast="47" xr6:coauthVersionMax="47" xr10:uidLastSave="{00000000-0000-0000-0000-000000000000}"/>
  <bookViews>
    <workbookView xWindow="-108" yWindow="-108" windowWidth="23256" windowHeight="13896" xr2:uid="{B6FC10D9-B839-4BA9-8E7D-B5DCEF454D8D}"/>
  </bookViews>
  <sheets>
    <sheet name="Start Here" sheetId="1" r:id="rId1"/>
    <sheet name="Assumptions" sheetId="2" r:id="rId2"/>
    <sheet name="Income Statement" sheetId="3" r:id="rId3"/>
    <sheet name="Cash Flow" sheetId="4" r:id="rId4"/>
    <sheet name="Balance Sheet" sheetId="5" r:id="rId5"/>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6" i="5" l="1"/>
  <c r="C18" i="5" s="1"/>
  <c r="C9" i="5"/>
  <c r="C11" i="5" s="1"/>
  <c r="C20" i="5" s="1"/>
  <c r="D24" i="4"/>
  <c r="H20" i="4"/>
  <c r="G20" i="4"/>
  <c r="F20" i="4"/>
  <c r="E20" i="4"/>
  <c r="D20" i="4"/>
  <c r="H19" i="4"/>
  <c r="G19" i="4"/>
  <c r="F19" i="4"/>
  <c r="E19" i="4"/>
  <c r="D19" i="4"/>
  <c r="H18" i="4"/>
  <c r="H21" i="4" s="1"/>
  <c r="G18" i="4"/>
  <c r="G21" i="4" s="1"/>
  <c r="F18" i="4"/>
  <c r="F21" i="4" s="1"/>
  <c r="E18" i="4"/>
  <c r="E21" i="4" s="1"/>
  <c r="D18" i="4"/>
  <c r="H14" i="4"/>
  <c r="H15" i="4" s="1"/>
  <c r="G14" i="4"/>
  <c r="G15" i="4" s="1"/>
  <c r="F14" i="4"/>
  <c r="F15" i="4" s="1"/>
  <c r="E14" i="4"/>
  <c r="E15" i="4" s="1"/>
  <c r="D14" i="4"/>
  <c r="D15" i="4" s="1"/>
  <c r="D13" i="3"/>
  <c r="D11" i="3"/>
  <c r="D10" i="5" s="1"/>
  <c r="C9" i="3"/>
  <c r="C7" i="3"/>
  <c r="C8" i="3" s="1"/>
  <c r="C10" i="3" s="1"/>
  <c r="C12" i="3" s="1"/>
  <c r="C14" i="3" s="1"/>
  <c r="D6" i="3"/>
  <c r="D15" i="5" l="1"/>
  <c r="D21" i="4"/>
  <c r="E11" i="3"/>
  <c r="E7" i="4" s="1"/>
  <c r="E10" i="5"/>
  <c r="C15" i="3"/>
  <c r="C16" i="3" s="1"/>
  <c r="D7" i="5"/>
  <c r="D8" i="4" s="1"/>
  <c r="D7" i="3"/>
  <c r="D8" i="3" s="1"/>
  <c r="D10" i="3" s="1"/>
  <c r="D12" i="3" s="1"/>
  <c r="D14" i="3" s="1"/>
  <c r="D9" i="3"/>
  <c r="E6" i="3"/>
  <c r="D7" i="4"/>
  <c r="E15" i="5" l="1"/>
  <c r="E13" i="3"/>
  <c r="F11" i="3"/>
  <c r="F7" i="4" s="1"/>
  <c r="F10" i="5"/>
  <c r="D8" i="5"/>
  <c r="D14" i="5"/>
  <c r="F6" i="3"/>
  <c r="E9" i="3"/>
  <c r="E7" i="5"/>
  <c r="E7" i="3"/>
  <c r="E8" i="3" s="1"/>
  <c r="E10" i="3" s="1"/>
  <c r="E12" i="3" s="1"/>
  <c r="E14" i="3" s="1"/>
  <c r="E15" i="3" s="1"/>
  <c r="E16" i="3" s="1"/>
  <c r="E6" i="4" s="1"/>
  <c r="D15" i="3"/>
  <c r="D16" i="3" s="1"/>
  <c r="F15" i="5" l="1"/>
  <c r="F13" i="3"/>
  <c r="G11" i="3"/>
  <c r="G7" i="4" s="1"/>
  <c r="G10" i="5"/>
  <c r="E9" i="4"/>
  <c r="D9" i="4"/>
  <c r="D16" i="5"/>
  <c r="D10" i="4"/>
  <c r="F9" i="3"/>
  <c r="F7" i="5"/>
  <c r="G6" i="3"/>
  <c r="F7" i="3"/>
  <c r="F8" i="3" s="1"/>
  <c r="F10" i="3" s="1"/>
  <c r="F12" i="3" s="1"/>
  <c r="F14" i="3" s="1"/>
  <c r="F15" i="3" s="1"/>
  <c r="F16" i="3" s="1"/>
  <c r="F8" i="4"/>
  <c r="E8" i="4"/>
  <c r="E14" i="5"/>
  <c r="E8" i="5"/>
  <c r="D6" i="4"/>
  <c r="D17" i="5"/>
  <c r="E17" i="5" s="1"/>
  <c r="G15" i="5" l="1"/>
  <c r="G13" i="3"/>
  <c r="H11" i="3"/>
  <c r="G9" i="3"/>
  <c r="H6" i="3"/>
  <c r="G8" i="3"/>
  <c r="G10" i="3" s="1"/>
  <c r="G12" i="3" s="1"/>
  <c r="G14" i="3" s="1"/>
  <c r="G15" i="3" s="1"/>
  <c r="G16" i="3" s="1"/>
  <c r="G6" i="4" s="1"/>
  <c r="G7" i="3"/>
  <c r="G7" i="5"/>
  <c r="F14" i="5"/>
  <c r="F8" i="5"/>
  <c r="E10" i="4"/>
  <c r="E16" i="5"/>
  <c r="E18" i="5" s="1"/>
  <c r="D11" i="4"/>
  <c r="D23" i="4" s="1"/>
  <c r="D25" i="4" s="1"/>
  <c r="D6" i="5" s="1"/>
  <c r="D18" i="5"/>
  <c r="E11" i="4"/>
  <c r="E23" i="4" s="1"/>
  <c r="F17" i="5"/>
  <c r="F6" i="4"/>
  <c r="H15" i="5" l="1"/>
  <c r="H13" i="3"/>
  <c r="H7" i="3"/>
  <c r="H8" i="3"/>
  <c r="H9" i="3"/>
  <c r="H7" i="5"/>
  <c r="H8" i="4" s="1"/>
  <c r="G8" i="5"/>
  <c r="G14" i="5"/>
  <c r="G8" i="4"/>
  <c r="F10" i="4"/>
  <c r="F16" i="5"/>
  <c r="F18" i="5" s="1"/>
  <c r="G10" i="4"/>
  <c r="F9" i="4"/>
  <c r="F11" i="4" s="1"/>
  <c r="F23" i="4" s="1"/>
  <c r="G9" i="4"/>
  <c r="E24" i="4"/>
  <c r="E25" i="4" s="1"/>
  <c r="E6" i="5" s="1"/>
  <c r="D9" i="5"/>
  <c r="D11" i="5" s="1"/>
  <c r="D20" i="5" s="1"/>
  <c r="G17" i="5"/>
  <c r="H7" i="4"/>
  <c r="H10" i="5"/>
  <c r="H8" i="5" l="1"/>
  <c r="H9" i="4" s="1"/>
  <c r="H14" i="5"/>
  <c r="G16" i="5"/>
  <c r="G18" i="5" s="1"/>
  <c r="E9" i="5"/>
  <c r="E11" i="5" s="1"/>
  <c r="E20" i="5" s="1"/>
  <c r="F24" i="4"/>
  <c r="F25" i="4" s="1"/>
  <c r="F6" i="5" s="1"/>
  <c r="H10" i="3"/>
  <c r="H12" i="3" s="1"/>
  <c r="H14" i="3" s="1"/>
  <c r="H15" i="3" s="1"/>
  <c r="H16" i="3" s="1"/>
  <c r="G11" i="4"/>
  <c r="G23" i="4" s="1"/>
  <c r="G24" i="4" l="1"/>
  <c r="G25" i="4" s="1"/>
  <c r="G6" i="5" s="1"/>
  <c r="F9" i="5"/>
  <c r="F11" i="5" s="1"/>
  <c r="F20" i="5" s="1"/>
  <c r="H17" i="5"/>
  <c r="H18" i="5" s="1"/>
  <c r="H6" i="4"/>
  <c r="H11" i="4" s="1"/>
  <c r="H23" i="4" s="1"/>
  <c r="H16" i="5"/>
  <c r="H10" i="4"/>
  <c r="H24" i="4" l="1"/>
  <c r="H25" i="4" s="1"/>
  <c r="H6" i="5" s="1"/>
  <c r="H9" i="5" s="1"/>
  <c r="H11" i="5" s="1"/>
  <c r="H20" i="5" s="1"/>
  <c r="G9" i="5"/>
  <c r="G11" i="5" s="1"/>
  <c r="G20" i="5" s="1"/>
</calcChain>
</file>

<file path=xl/sharedStrings.xml><?xml version="1.0" encoding="utf-8"?>
<sst xmlns="http://schemas.openxmlformats.org/spreadsheetml/2006/main" count="148" uniqueCount="110">
  <si>
    <t>Trailhead Outfitters: Balance Sheet and 3-Statement Template</t>
  </si>
  <si>
    <t>A $600,000 loan, a second store, and a balance sheet that has to balance every single year.</t>
  </si>
  <si>
    <t>The story</t>
  </si>
  <si>
    <t>Sam Okafor spent every college summer guiding backpacking trips in the Blue Ridge Mountains. After graduating, Sam opened Trailhead Outfitters, a small gear shop in Asheville selling tents, boots and rental kits to weekend hikers. Five years later the shop does $2.4 million in annual sales and is profitable.</t>
  </si>
  <si>
    <t>Now Sam wants to open a second store near a popular trailhead and carry far more inventory for the busy spring season. A bank has offered a $600,000 term loan, to be repaid at $100,000 a year starting the year after it's drawn. Before signing, Sam's accountant asks a simple question: "Show me the balance sheet and cash flow for the next five years. Can you actually pay this back, and will you ever run out of cash?"</t>
  </si>
  <si>
    <t>Your job</t>
  </si>
  <si>
    <t>Link Trailhead's income statement, cash flow statement and balance sheet for FY2026 to FY2030. Every profit, every dollar of inventory and every loan repayment has to show up in the right place, and the balance sheet check at the bottom must read zero every year.</t>
  </si>
  <si>
    <t>What you'll learn</t>
  </si>
  <si>
    <t>â€¢  How the three financial statements connect: net income flows to cash flow and retained earnings, and cash flow ends at the balance sheet's cash</t>
  </si>
  <si>
    <t>â€¢  Working capital: why a growing shop ties up cash in receivables and inventory, and how supplier credit (payables) gives some back</t>
  </si>
  <si>
    <t>â€¢  How capex and depreciation move PP&amp;E, and how a loan moves through the cash flow and the balance sheet</t>
  </si>
  <si>
    <t>â€¢  How to use a balance check to find mistakes, the first thing interviewers look at in a modeling test</t>
  </si>
  <si>
    <t>How this workbook works</t>
  </si>
  <si>
    <t>Start on the Assumptions sheet, where all inputs live (blue on yellow). The Income Statement, Cash Flow and Balance Sheet tabs are all formulas. FY2025A is the actual opening year; FY2026E to FY2030E are projections. All figures are in $ thousands. To keep the model simple and avoid circular references, interest is charged on each year's opening loan balance.</t>
  </si>
  <si>
    <t>Try this</t>
  </si>
  <si>
    <t>1.  The new store opens slowly: cut FY2026 revenue growth from 25% to 10%. Does Trailhead's cash ever get uncomfortably low? In which year is it lowest?</t>
  </si>
  <si>
    <t>2.  Sam's main supplier stops offering 45 days to pay and wants payment in 20 days. Change days payable and see how much cash that costs. Why does the balance sheet still balance?</t>
  </si>
  <si>
    <t>3.  Sam wants to hold more stock: raise inventory days from 120 to 150. What happens to cash flow from operations in FY2026?</t>
  </si>
  <si>
    <t>4.  Break it on purpose: overwrite one cell on the Cash Flow sheet with a hard-coded number. Watch the balance check, then press Ctrl+Z.</t>
  </si>
  <si>
    <t>Practice it on LBO Reps</t>
  </si>
  <si>
    <t>Cash flow is what pays down debt in a leveraged buyout. Practice it in the free lesson "Free cash flow" at www.financialmodelingcourse.io/#lesson-4.</t>
  </si>
  <si>
    <t>Trailhead Outfitters, its owner and all figures are fictional and for education only.</t>
  </si>
  <si>
    <t>Free template from LBO Reps  Â·  www.financialmodelingcourse.io  Â·  Practice building LBOs one formula at a time.</t>
  </si>
  <si>
    <t>Trailhead Outfitters</t>
  </si>
  <si>
    <t>Assumptions  Â·  $ in thousands</t>
  </si>
  <si>
    <t>Blue cells on yellow = inputs you can change.  Black = formulas.  Grey italics = notes.</t>
  </si>
  <si>
    <t>Operations</t>
  </si>
  <si>
    <t>FY2025A</t>
  </si>
  <si>
    <t>FY2026E</t>
  </si>
  <si>
    <t>FY2027E</t>
  </si>
  <si>
    <t>FY2028E</t>
  </si>
  <si>
    <t>FY2029E</t>
  </si>
  <si>
    <t>FY2030E</t>
  </si>
  <si>
    <t>Revenue growth</t>
  </si>
  <si>
    <t>FY2026 jumps as the second store opens, then growth settles.</t>
  </si>
  <si>
    <t>Gross margin</t>
  </si>
  <si>
    <t>Operating expenses (% of revenue)</t>
  </si>
  <si>
    <t>Staff, rent, utilities and marketing for both stores.</t>
  </si>
  <si>
    <t>Tax rate</t>
  </si>
  <si>
    <t>Working capital</t>
  </si>
  <si>
    <t>Days receivable</t>
  </si>
  <si>
    <t>Mostly card sales, which settle within a few days. Group orders take longer.</t>
  </si>
  <si>
    <t>Days inventory (on cost of goods)</t>
  </si>
  <si>
    <t>Gear sits on shelves for about four months before it sells.</t>
  </si>
  <si>
    <t>Days payable (on cost of goods)</t>
  </si>
  <si>
    <t>Suppliers give Trailhead 45 days to pay.</t>
  </si>
  <si>
    <t>Investment and financing</t>
  </si>
  <si>
    <t>Capital expenditures</t>
  </si>
  <si>
    <t>FY2026 includes $380k to fit out the second store.</t>
  </si>
  <si>
    <t>Depreciation (% of opening PP&amp;E)</t>
  </si>
  <si>
    <t>New bank loan drawn</t>
  </si>
  <si>
    <t>Loan repayment</t>
  </si>
  <si>
    <t>Interest rate on loan</t>
  </si>
  <si>
    <t>Charged on the opening loan balance each year.</t>
  </si>
  <si>
    <t>Distributions to owner</t>
  </si>
  <si>
    <t>Sam waits two years before paying anything out.</t>
  </si>
  <si>
    <t>Income statement  Â·  $ in thousands</t>
  </si>
  <si>
    <t>Income statement</t>
  </si>
  <si>
    <t>Revenue</t>
  </si>
  <si>
    <t>Cost of goods sold</t>
  </si>
  <si>
    <t>Gross profit</t>
  </si>
  <si>
    <t>Operating expenses</t>
  </si>
  <si>
    <t>EBITDA</t>
  </si>
  <si>
    <t>Depreciation</t>
  </si>
  <si>
    <t>Opening PP&amp;E Ã— depreciation rate.</t>
  </si>
  <si>
    <t>EBIT</t>
  </si>
  <si>
    <t>Interest expense</t>
  </si>
  <si>
    <t>Opening loan balance Ã— interest rate.</t>
  </si>
  <si>
    <t>Pre-tax income</t>
  </si>
  <si>
    <t>Taxes</t>
  </si>
  <si>
    <t>Net income</t>
  </si>
  <si>
    <t>Flows to the cash flow statement and to retained earnings.</t>
  </si>
  <si>
    <t>Cash flow statement  Â·  $ in thousands</t>
  </si>
  <si>
    <t>Operating activities</t>
  </si>
  <si>
    <t>Add back: depreciation</t>
  </si>
  <si>
    <t>A non-cash expense, so it's added back.</t>
  </si>
  <si>
    <t>(Increase) in receivables</t>
  </si>
  <si>
    <t>(Increase) in inventory</t>
  </si>
  <si>
    <t>More stock on the shelves uses cash.</t>
  </si>
  <si>
    <t>Increase in payables</t>
  </si>
  <si>
    <t>Paying suppliers later keeps cash in the business for longer.</t>
  </si>
  <si>
    <t>Cash flow from operations</t>
  </si>
  <si>
    <t>Investing activities</t>
  </si>
  <si>
    <t>Cash flow from investing</t>
  </si>
  <si>
    <t>Financing activities</t>
  </si>
  <si>
    <t>Bank loan drawn</t>
  </si>
  <si>
    <t>Bank loan repaid</t>
  </si>
  <si>
    <t>Cash flow from financing</t>
  </si>
  <si>
    <t>Net change in cash</t>
  </si>
  <si>
    <t>Opening cash</t>
  </si>
  <si>
    <t>Closing cash</t>
  </si>
  <si>
    <t>Becomes cash on the balance sheet.</t>
  </si>
  <si>
    <t>Balance sheet (end of year)  Â·  $ in thousands</t>
  </si>
  <si>
    <t>Assets</t>
  </si>
  <si>
    <t>Cash</t>
  </si>
  <si>
    <t>Accounts receivable</t>
  </si>
  <si>
    <t>Inventory</t>
  </si>
  <si>
    <t>Total current assets</t>
  </si>
  <si>
    <t>Property, plant and equipment (net)</t>
  </si>
  <si>
    <t>Opening PP&amp;E + capex - depreciation.</t>
  </si>
  <si>
    <t>Total assets</t>
  </si>
  <si>
    <t>Liabilities and equity</t>
  </si>
  <si>
    <t>Accounts payable</t>
  </si>
  <si>
    <t>Bank loan</t>
  </si>
  <si>
    <t>Total liabilities</t>
  </si>
  <si>
    <t>Owner's equity</t>
  </si>
  <si>
    <t>Opening equity + net income - distributions.</t>
  </si>
  <si>
    <t>Total liabilities and equity</t>
  </si>
  <si>
    <t>Balance check (should be 0)</t>
  </si>
  <si>
    <t>Total assets minus total liabilities and equity. Anything other than 0 means a link is broken.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</si>
</sst>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quot;â€“&quot;"/>
    <numFmt numFmtId="165" formatCode="0&quot; days&quot;"/>
    <numFmt numFmtId="166" formatCode="#,##0;\(#,##0\);&quot;â€“&quot;"/>
  </numFmts>
  <fonts count="12" x14ac:knownFonts="1">
    <font>
      <sz val="10"/>
      <color theme="1"/>
      <name val="Arial"/>
      <family val="2"/>
    </font>
    <font>
      <b/>
      <sz val="18"/>
      <color rgb="FF0F362A"/>
      <name val="Arial"/>
      <family val="2"/>
    </font>
    <font>
      <sz val="11"/>
      <color rgb="FF6B6F6D"/>
      <name val="Arial"/>
      <family val="2"/>
    </font>
    <font>
      <b/>
      <sz val="10"/>
      <color theme="1"/>
      <name val="Arial"/>
      <family val="2"/>
    </font>
    <font>
      <b/>
      <sz val="12"/>
      <color rgb="FF157659"/>
      <name val="Arial"/>
      <family val="2"/>
    </font>
    <font>
      <i/>
      <sz val="10"/>
      <color rgb="FF6B6F6D"/>
      <name val="Arial"/>
      <family val="2"/>
    </font>
    <font>
      <u/>
      <sz val="10"/>
      <color theme="10"/>
      <name val="Arial"/>
      <family val="2"/>
    </font>
    <font>
      <i/>
      <u/>
      <sz val="10"/>
      <color rgb="FF6B6F6D"/>
      <name val="Arial"/>
      <family val="2"/>
    </font>
    <font>
      <b/>
      <sz val="10"/>
      <color rgb="FFFFFFFF"/>
      <name val="Arial"/>
      <family val="2"/>
    </font>
    <font>
      <sz val="10"/>
      <color rgb="FF0000FF"/>
      <name val="Arial"/>
      <family val="2"/>
    </font>
    <font>
      <b/>
      <sz val="10"/>
      <color rgb="FF0000FF"/>
      <name val="Arial"/>
      <family val="2"/>
    </font>
    <font>
      <b/>
      <sz val="10"/>
      <color rgb="FF157659"/>
      <name val="Arial"/>
      <family val="2"/>
    </font>
  </fonts>
  <fills count="5">
    <fill>
      <patternFill patternType="none"/>
    </fill>
    <fill>
      <patternFill patternType="gray125"/>
    </fill>
    <fill>
      <patternFill patternType="solid">
        <fgColor rgb="FF0F362A"/>
        <bgColor indexed="64"/>
      </patternFill>
    </fill>
    <fill>
      <patternFill patternType="solid">
        <fgColor rgb="FFFFF7D6"/>
        <bgColor indexed="64"/>
      </patternFill>
    </fill>
    <fill>
      <patternFill patternType="solid">
        <fgColor rgb="FFE5F0EB"/>
        <bgColor indexed="64"/>
      </patternFill>
    </fill>
  </fills>
  <borders count="2">
    <border>
      <left/>
      <right/>
      <top/>
      <bottom/>
      <diagonal/>
    </border>
    <border>
      <left/>
      <right/>
      <top style="thin">
        <color rgb="FF0F362A"/>
      </top>
      <bottom/>
      <diagonal/>
    </border>
  </borders>
  <cellStyleXfs count="2">
    <xf numFmtId="0" fontId="0" fillId="0" borderId="0"/>
    <xf numFmtId="0" fontId="6" fillId="0" borderId="0" applyNumberFormat="0" applyFill="0" applyBorder="0" applyAlignment="0" applyProtection="0"/>
  </cellStyleXfs>
  <cellXfs count="23">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0" fillId="0" borderId="0" xfId="0" applyAlignment="1">
      <alignment vertical="top" wrapText="1"/>
    </xf>
    <xf numFmtId="0" fontId="5" fillId="0" borderId="0" xfId="0" applyFont="1"/>
    <xf numFmtId="0" fontId="7" fillId="0" borderId="0" xfId="1" applyFont="1"/>
    <xf numFmtId="0" fontId="8" fillId="2" borderId="0" xfId="0" applyFont="1" applyFill="1"/>
    <xf numFmtId="0" fontId="8" fillId="2" borderId="0" xfId="0" applyFont="1" applyFill="1" applyAlignment="1">
      <alignment horizontal="right"/>
    </xf>
    <xf numFmtId="164" fontId="9" fillId="3" borderId="0" xfId="0" applyNumberFormat="1" applyFont="1" applyFill="1" applyAlignment="1">
      <alignment horizontal="right"/>
    </xf>
    <xf numFmtId="165" fontId="9" fillId="3" borderId="0" xfId="0" applyNumberFormat="1" applyFont="1" applyFill="1" applyAlignment="1">
      <alignment horizontal="right"/>
    </xf>
    <xf numFmtId="166" fontId="9" fillId="3" borderId="0" xfId="0" applyNumberFormat="1" applyFont="1" applyFill="1" applyAlignment="1">
      <alignment horizontal="right"/>
    </xf>
    <xf numFmtId="166" fontId="10" fillId="3" borderId="0" xfId="0" applyNumberFormat="1" applyFont="1" applyFill="1" applyAlignment="1">
      <alignment horizontal="right"/>
    </xf>
    <xf numFmtId="166" fontId="0" fillId="0" borderId="0" xfId="0" applyNumberFormat="1" applyAlignment="1">
      <alignment horizontal="right"/>
    </xf>
    <xf numFmtId="166" fontId="3" fillId="0" borderId="0" xfId="0" applyNumberFormat="1" applyFont="1" applyAlignment="1">
      <alignment horizontal="right"/>
    </xf>
    <xf numFmtId="0" fontId="3" fillId="0" borderId="1" xfId="0" applyFont="1" applyBorder="1"/>
    <xf numFmtId="166" fontId="3" fillId="0" borderId="1" xfId="0" applyNumberFormat="1" applyFont="1" applyBorder="1" applyAlignment="1">
      <alignment horizontal="right"/>
    </xf>
    <xf numFmtId="0" fontId="3" fillId="4" borderId="1" xfId="0" applyFont="1" applyFill="1" applyBorder="1"/>
    <xf numFmtId="166" fontId="3" fillId="4" borderId="1" xfId="0" applyNumberFormat="1" applyFont="1" applyFill="1" applyBorder="1" applyAlignment="1">
      <alignment horizontal="right"/>
    </xf>
    <xf numFmtId="0" fontId="0" fillId="4" borderId="0" xfId="0" applyFill="1"/>
    <xf numFmtId="0" fontId="11" fillId="0" borderId="0" xfId="0" applyFont="1"/>
    <xf numFmtId="166" fontId="11" fillId="0" borderId="0" xfId="0" applyNumberFormat="1" applyFont="1" applyAlignment="1">
      <alignment horizontal="right"/>
    </xf>
  </cellXfs>
  <cellStyles count="2">
    <cellStyle name="Hyperlink" xfId="1" builtinId="8"/>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financialmodelingcourse.i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DE6C8-4094-4B66-8784-65F227AC480A}">
  <dimension ref="B2:B32"/>
  <sheetViews>
    <sheetView showGridLines="0" tabSelected="1" zoomScaleNormal="100" workbookViewId="0"/>
  </sheetViews>
  <sheetFormatPr defaultRowHeight="13.2" x14ac:dyDescent="0.25"/>
  <cols>
    <col min="1" max="1" width="3.77734375" customWidth="1"/>
    <col min="2" max="2" width="100.77734375" customWidth="1"/>
  </cols>
  <sheetData>
    <row r="2" spans="2:2" ht="22.8" x14ac:dyDescent="0.4">
      <c r="B2" s="1" t="s">
        <v>0</v>
      </c>
    </row>
    <row r="3" spans="2:2" ht="13.8" x14ac:dyDescent="0.25">
      <c r="B3" s="2" t="s">
        <v>1</v>
      </c>
    </row>
    <row r="5" spans="2:2" ht="15.6" x14ac:dyDescent="0.3">
      <c r="B5" s="4" t="s">
        <v>2</v>
      </c>
    </row>
    <row r="6" spans="2:2" ht="43.95" customHeight="1" x14ac:dyDescent="0.25">
      <c r="B6" s="5" t="s">
        <v>3</v>
      </c>
    </row>
    <row r="7" spans="2:2" ht="58.05" customHeight="1" x14ac:dyDescent="0.25">
      <c r="B7" s="5" t="s">
        <v>4</v>
      </c>
    </row>
    <row r="9" spans="2:2" ht="15.6" x14ac:dyDescent="0.3">
      <c r="B9" s="4" t="s">
        <v>5</v>
      </c>
    </row>
    <row r="10" spans="2:2" ht="43.95" customHeight="1" x14ac:dyDescent="0.25">
      <c r="B10" s="5" t="s">
        <v>6</v>
      </c>
    </row>
    <row r="12" spans="2:2" ht="15.6" x14ac:dyDescent="0.3">
      <c r="B12" s="4" t="s">
        <v>7</v>
      </c>
    </row>
    <row r="13" spans="2:2" ht="30" customHeight="1" x14ac:dyDescent="0.25">
      <c r="B13" s="5" t="s">
        <v>8</v>
      </c>
    </row>
    <row r="14" spans="2:2" ht="30" customHeight="1" x14ac:dyDescent="0.25">
      <c r="B14" s="5" t="s">
        <v>9</v>
      </c>
    </row>
    <row r="15" spans="2:2" ht="30" customHeight="1" x14ac:dyDescent="0.25">
      <c r="B15" s="5" t="s">
        <v>10</v>
      </c>
    </row>
    <row r="16" spans="2:2" ht="16.05" customHeight="1" x14ac:dyDescent="0.25">
      <c r="B16" s="5" t="s">
        <v>11</v>
      </c>
    </row>
    <row r="18" spans="2:2" ht="15.6" x14ac:dyDescent="0.3">
      <c r="B18" s="4" t="s">
        <v>12</v>
      </c>
    </row>
    <row r="19" spans="2:2" ht="58.05" customHeight="1" x14ac:dyDescent="0.25">
      <c r="B19" s="5" t="s">
        <v>13</v>
      </c>
    </row>
    <row r="21" spans="2:2" ht="15.6" x14ac:dyDescent="0.3">
      <c r="B21" s="4" t="s">
        <v>14</v>
      </c>
    </row>
    <row r="22" spans="2:2" ht="30" customHeight="1" x14ac:dyDescent="0.25">
      <c r="B22" s="5" t="s">
        <v>15</v>
      </c>
    </row>
    <row r="23" spans="2:2" ht="30" customHeight="1" x14ac:dyDescent="0.25">
      <c r="B23" s="5" t="s">
        <v>16</v>
      </c>
    </row>
    <row r="24" spans="2:2" ht="30" customHeight="1" x14ac:dyDescent="0.25">
      <c r="B24" s="5" t="s">
        <v>17</v>
      </c>
    </row>
    <row r="25" spans="2:2" ht="30" customHeight="1" x14ac:dyDescent="0.25">
      <c r="B25" s="5" t="s">
        <v>18</v>
      </c>
    </row>
    <row r="27" spans="2:2" ht="15.6" x14ac:dyDescent="0.3">
      <c r="B27" s="4" t="s">
        <v>19</v>
      </c>
    </row>
    <row r="28" spans="2:2" ht="30" customHeight="1" x14ac:dyDescent="0.25">
      <c r="B28" s="5" t="s">
        <v>20</v>
      </c>
    </row>
    <row r="30" spans="2:2" ht="16.05" customHeight="1" x14ac:dyDescent="0.25">
      <c r="B30" s="5" t="s">
        <v>21</v>
      </c>
    </row>
    <row r="32" spans="2:2" x14ac:dyDescent="0.25">
      <c r="B32" s="7" t="s">
        <v>22</v>
      </c>
    </row>
  </sheetData>
  <hyperlinks>
    <hyperlink ref="B32" r:id="rId1" tooltip="Open LBO Reps" xr:uid="{6A9DF88B-6D19-4914-BC78-63A17B8F419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660D6-4D43-438E-A19E-A670BA7300B5}">
  <dimension ref="B1:J22"/>
  <sheetViews>
    <sheetView showGridLines="0" zoomScaleNormal="100" workbookViewId="0">
      <pane xSplit="2" ySplit="5" topLeftCell="C6" activePane="bottomRight" state="frozenSplit"/>
      <selection pane="bottomLeft" activeCell="A6" sqref="A6"/>
      <selection pane="topRight" activeCell="C1" sqref="C1"/>
      <selection pane="bottomRight" activeCell="C6" sqref="C6"/>
    </sheetView>
  </sheetViews>
  <sheetFormatPr defaultRowHeight="13.2" x14ac:dyDescent="0.25"/>
  <cols>
    <col min="1" max="1" width="2.77734375" customWidth="1"/>
    <col min="2" max="2" width="42.77734375" customWidth="1"/>
    <col min="3" max="8" width="12.77734375" customWidth="1"/>
    <col min="9" max="9" width="2.77734375" customWidth="1"/>
    <col min="10" max="10" width="60.77734375" customWidth="1"/>
  </cols>
  <sheetData>
    <row r="1" spans="2:10" ht="22.8" x14ac:dyDescent="0.4">
      <c r="B1" s="1" t="s">
        <v>23</v>
      </c>
    </row>
    <row r="2" spans="2:10" ht="13.8" x14ac:dyDescent="0.25">
      <c r="B2" s="2" t="s">
        <v>24</v>
      </c>
    </row>
    <row r="3" spans="2:10" x14ac:dyDescent="0.25">
      <c r="B3" s="6" t="s">
        <v>25</v>
      </c>
    </row>
    <row r="5" spans="2:10" x14ac:dyDescent="0.25">
      <c r="B5" s="8" t="s">
        <v>26</v>
      </c>
      <c r="C5" s="9" t="s">
        <v>27</v>
      </c>
      <c r="D5" s="9" t="s">
        <v>28</v>
      </c>
      <c r="E5" s="9" t="s">
        <v>29</v>
      </c>
      <c r="F5" s="9" t="s">
        <v>30</v>
      </c>
      <c r="G5" s="9" t="s">
        <v>31</v>
      </c>
      <c r="H5" s="9" t="s">
        <v>32</v>
      </c>
    </row>
    <row r="6" spans="2:10" x14ac:dyDescent="0.25">
      <c r="B6" t="s">
        <v>33</v>
      </c>
      <c r="D6" s="10">
        <v>0.25</v>
      </c>
      <c r="E6" s="10">
        <v>0.15</v>
      </c>
      <c r="F6" s="10">
        <v>0.08</v>
      </c>
      <c r="G6" s="10">
        <v>0.06</v>
      </c>
      <c r="H6" s="10">
        <v>0.05</v>
      </c>
      <c r="J6" s="6" t="s">
        <v>34</v>
      </c>
    </row>
    <row r="7" spans="2:10" x14ac:dyDescent="0.25">
      <c r="B7" t="s">
        <v>35</v>
      </c>
      <c r="C7" s="10">
        <v>0.42</v>
      </c>
      <c r="D7" s="10">
        <v>0.42</v>
      </c>
      <c r="E7" s="10">
        <v>0.42</v>
      </c>
      <c r="F7" s="10">
        <v>0.42499999999999999</v>
      </c>
      <c r="G7" s="10">
        <v>0.42499999999999999</v>
      </c>
      <c r="H7" s="10">
        <v>0.43</v>
      </c>
    </row>
    <row r="8" spans="2:10" x14ac:dyDescent="0.25">
      <c r="B8" t="s">
        <v>36</v>
      </c>
      <c r="C8" s="10">
        <v>0.3</v>
      </c>
      <c r="D8" s="10">
        <v>0.28999999999999998</v>
      </c>
      <c r="E8" s="10">
        <v>0.28499999999999998</v>
      </c>
      <c r="F8" s="10">
        <v>0.28000000000000003</v>
      </c>
      <c r="G8" s="10">
        <v>0.28000000000000003</v>
      </c>
      <c r="H8" s="10">
        <v>0.28000000000000003</v>
      </c>
      <c r="J8" s="6" t="s">
        <v>37</v>
      </c>
    </row>
    <row r="9" spans="2:10" x14ac:dyDescent="0.25">
      <c r="B9" t="s">
        <v>38</v>
      </c>
      <c r="C9" s="10">
        <v>0.25</v>
      </c>
      <c r="D9" s="10">
        <v>0.25</v>
      </c>
      <c r="E9" s="10">
        <v>0.25</v>
      </c>
      <c r="F9" s="10">
        <v>0.25</v>
      </c>
      <c r="G9" s="10">
        <v>0.25</v>
      </c>
      <c r="H9" s="10">
        <v>0.25</v>
      </c>
    </row>
    <row r="11" spans="2:10" x14ac:dyDescent="0.25">
      <c r="B11" s="8" t="s">
        <v>39</v>
      </c>
      <c r="C11" s="9" t="s">
        <v>27</v>
      </c>
      <c r="D11" s="9" t="s">
        <v>28</v>
      </c>
      <c r="E11" s="9" t="s">
        <v>29</v>
      </c>
      <c r="F11" s="9" t="s">
        <v>30</v>
      </c>
      <c r="G11" s="9" t="s">
        <v>31</v>
      </c>
      <c r="H11" s="9" t="s">
        <v>32</v>
      </c>
    </row>
    <row r="12" spans="2:10" x14ac:dyDescent="0.25">
      <c r="B12" t="s">
        <v>40</v>
      </c>
      <c r="C12" s="11">
        <v>10</v>
      </c>
      <c r="D12" s="11">
        <v>10</v>
      </c>
      <c r="E12" s="11">
        <v>10</v>
      </c>
      <c r="F12" s="11">
        <v>10</v>
      </c>
      <c r="G12" s="11">
        <v>10</v>
      </c>
      <c r="H12" s="11">
        <v>10</v>
      </c>
      <c r="J12" s="6" t="s">
        <v>41</v>
      </c>
    </row>
    <row r="13" spans="2:10" x14ac:dyDescent="0.25">
      <c r="B13" t="s">
        <v>42</v>
      </c>
      <c r="C13" s="11">
        <v>120</v>
      </c>
      <c r="D13" s="11">
        <v>120</v>
      </c>
      <c r="E13" s="11">
        <v>120</v>
      </c>
      <c r="F13" s="11">
        <v>115</v>
      </c>
      <c r="G13" s="11">
        <v>115</v>
      </c>
      <c r="H13" s="11">
        <v>110</v>
      </c>
      <c r="J13" s="6" t="s">
        <v>43</v>
      </c>
    </row>
    <row r="14" spans="2:10" x14ac:dyDescent="0.25">
      <c r="B14" t="s">
        <v>44</v>
      </c>
      <c r="C14" s="11">
        <v>45</v>
      </c>
      <c r="D14" s="11">
        <v>45</v>
      </c>
      <c r="E14" s="11">
        <v>45</v>
      </c>
      <c r="F14" s="11">
        <v>45</v>
      </c>
      <c r="G14" s="11">
        <v>45</v>
      </c>
      <c r="H14" s="11">
        <v>45</v>
      </c>
      <c r="J14" s="6" t="s">
        <v>45</v>
      </c>
    </row>
    <row r="16" spans="2:10" x14ac:dyDescent="0.25">
      <c r="B16" s="8" t="s">
        <v>46</v>
      </c>
      <c r="C16" s="9" t="s">
        <v>27</v>
      </c>
      <c r="D16" s="9" t="s">
        <v>28</v>
      </c>
      <c r="E16" s="9" t="s">
        <v>29</v>
      </c>
      <c r="F16" s="9" t="s">
        <v>30</v>
      </c>
      <c r="G16" s="9" t="s">
        <v>31</v>
      </c>
      <c r="H16" s="9" t="s">
        <v>32</v>
      </c>
    </row>
    <row r="17" spans="2:10" x14ac:dyDescent="0.25">
      <c r="B17" t="s">
        <v>47</v>
      </c>
      <c r="D17" s="12">
        <v>450</v>
      </c>
      <c r="E17" s="12">
        <v>80</v>
      </c>
      <c r="F17" s="12">
        <v>90</v>
      </c>
      <c r="G17" s="12">
        <v>100</v>
      </c>
      <c r="H17" s="12">
        <v>110</v>
      </c>
      <c r="J17" s="6" t="s">
        <v>48</v>
      </c>
    </row>
    <row r="18" spans="2:10" x14ac:dyDescent="0.25">
      <c r="B18" t="s">
        <v>49</v>
      </c>
      <c r="D18" s="10">
        <v>0.1</v>
      </c>
      <c r="E18" s="10">
        <v>0.1</v>
      </c>
      <c r="F18" s="10">
        <v>0.1</v>
      </c>
      <c r="G18" s="10">
        <v>0.1</v>
      </c>
      <c r="H18" s="10">
        <v>0.1</v>
      </c>
    </row>
    <row r="19" spans="2:10" x14ac:dyDescent="0.25">
      <c r="B19" t="s">
        <v>50</v>
      </c>
      <c r="D19" s="12">
        <v>600</v>
      </c>
      <c r="E19" s="12">
        <v>0</v>
      </c>
      <c r="F19" s="12">
        <v>0</v>
      </c>
      <c r="G19" s="12">
        <v>0</v>
      </c>
      <c r="H19" s="12">
        <v>0</v>
      </c>
    </row>
    <row r="20" spans="2:10" x14ac:dyDescent="0.25">
      <c r="B20" t="s">
        <v>51</v>
      </c>
      <c r="D20" s="12">
        <v>0</v>
      </c>
      <c r="E20" s="12">
        <v>100</v>
      </c>
      <c r="F20" s="12">
        <v>100</v>
      </c>
      <c r="G20" s="12">
        <v>100</v>
      </c>
      <c r="H20" s="12">
        <v>100</v>
      </c>
    </row>
    <row r="21" spans="2:10" x14ac:dyDescent="0.25">
      <c r="B21" t="s">
        <v>52</v>
      </c>
      <c r="D21" s="10">
        <v>0.08</v>
      </c>
      <c r="E21" s="10">
        <v>0.08</v>
      </c>
      <c r="F21" s="10">
        <v>0.08</v>
      </c>
      <c r="G21" s="10">
        <v>0.08</v>
      </c>
      <c r="H21" s="10">
        <v>0.08</v>
      </c>
      <c r="J21" s="6" t="s">
        <v>53</v>
      </c>
    </row>
    <row r="22" spans="2:10" x14ac:dyDescent="0.25">
      <c r="B22" t="s">
        <v>54</v>
      </c>
      <c r="D22" s="12">
        <v>0</v>
      </c>
      <c r="E22" s="12">
        <v>0</v>
      </c>
      <c r="F22" s="12">
        <v>50</v>
      </c>
      <c r="G22" s="12">
        <v>80</v>
      </c>
      <c r="H22" s="12">
        <v>100</v>
      </c>
      <c r="J22" s="6"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7033A-CE79-40BB-A6DD-E5ACC6ADB8AB}">
  <dimension ref="B1:J16"/>
  <sheetViews>
    <sheetView showGridLines="0" zoomScaleNormal="100" workbookViewId="0">
      <pane xSplit="2" ySplit="5" topLeftCell="C6" activePane="bottomRight" state="frozenSplit"/>
      <selection pane="bottomLeft" activeCell="A6" sqref="A6"/>
      <selection pane="topRight" activeCell="C1" sqref="C1"/>
      <selection pane="bottomRight" activeCell="C6" sqref="C6"/>
    </sheetView>
  </sheetViews>
  <sheetFormatPr defaultRowHeight="13.2" x14ac:dyDescent="0.25"/>
  <cols>
    <col min="1" max="1" width="2.77734375" customWidth="1"/>
    <col min="2" max="2" width="42.77734375" customWidth="1"/>
    <col min="3" max="8" width="12.77734375" customWidth="1"/>
    <col min="9" max="9" width="2.77734375" customWidth="1"/>
    <col min="10" max="10" width="60.77734375" customWidth="1"/>
  </cols>
  <sheetData>
    <row r="1" spans="2:10" ht="22.8" x14ac:dyDescent="0.4">
      <c r="B1" s="1" t="s">
        <v>23</v>
      </c>
    </row>
    <row r="2" spans="2:10" ht="13.8" x14ac:dyDescent="0.25">
      <c r="B2" s="2" t="s">
        <v>56</v>
      </c>
    </row>
    <row r="3" spans="2:10" x14ac:dyDescent="0.25">
      <c r="B3" s="6" t="s">
        <v>25</v>
      </c>
    </row>
    <row r="5" spans="2:10" x14ac:dyDescent="0.25">
      <c r="B5" s="8" t="s">
        <v>57</v>
      </c>
      <c r="C5" s="9" t="s">
        <v>27</v>
      </c>
      <c r="D5" s="9" t="s">
        <v>28</v>
      </c>
      <c r="E5" s="9" t="s">
        <v>29</v>
      </c>
      <c r="F5" s="9" t="s">
        <v>30</v>
      </c>
      <c r="G5" s="9" t="s">
        <v>31</v>
      </c>
      <c r="H5" s="9" t="s">
        <v>32</v>
      </c>
    </row>
    <row r="6" spans="2:10" x14ac:dyDescent="0.25">
      <c r="B6" s="3" t="s">
        <v>58</v>
      </c>
      <c r="C6" s="13">
        <v>2400</v>
      </c>
      <c r="D6" s="15">
        <f>C6*(1+Assumptions!D6)</f>
        <v>3000</v>
      </c>
      <c r="E6" s="15">
        <f>D6*(1+Assumptions!E6)</f>
        <v>3449.9999999999995</v>
      </c>
      <c r="F6" s="15">
        <f>E6*(1+Assumptions!F6)</f>
        <v>3725.9999999999995</v>
      </c>
      <c r="G6" s="15">
        <f>F6*(1+Assumptions!G6)</f>
        <v>3949.5599999999995</v>
      </c>
      <c r="H6" s="15">
        <f>G6*(1+Assumptions!H6)</f>
        <v>4147.0379999999996</v>
      </c>
    </row>
    <row r="7" spans="2:10" x14ac:dyDescent="0.25">
      <c r="B7" t="s">
        <v>59</v>
      </c>
      <c r="C7" s="14">
        <f>C6*(1-Assumptions!C7)</f>
        <v>1392.0000000000002</v>
      </c>
      <c r="D7" s="14">
        <f>D6*(1-Assumptions!D7)</f>
        <v>1740.0000000000002</v>
      </c>
      <c r="E7" s="14">
        <f>E6*(1-Assumptions!E7)</f>
        <v>2001</v>
      </c>
      <c r="F7" s="14">
        <f>F6*(1-Assumptions!F7)</f>
        <v>2142.4499999999994</v>
      </c>
      <c r="G7" s="14">
        <f>G6*(1-Assumptions!G7)</f>
        <v>2270.9969999999994</v>
      </c>
      <c r="H7" s="14">
        <f>H6*(1-Assumptions!H7)</f>
        <v>2363.8116599999998</v>
      </c>
    </row>
    <row r="8" spans="2:10" x14ac:dyDescent="0.25">
      <c r="B8" s="16" t="s">
        <v>60</v>
      </c>
      <c r="C8" s="17">
        <f>C6-C7</f>
        <v>1007.9999999999998</v>
      </c>
      <c r="D8" s="17">
        <f>D6-D7</f>
        <v>1259.9999999999998</v>
      </c>
      <c r="E8" s="17">
        <f>E6-E7</f>
        <v>1448.9999999999995</v>
      </c>
      <c r="F8" s="17">
        <f>F6-F7</f>
        <v>1583.5500000000002</v>
      </c>
      <c r="G8" s="17">
        <f>G6-G7</f>
        <v>1678.5630000000001</v>
      </c>
      <c r="H8" s="17">
        <f>H6-H7</f>
        <v>1783.2263399999997</v>
      </c>
    </row>
    <row r="9" spans="2:10" x14ac:dyDescent="0.25">
      <c r="B9" t="s">
        <v>61</v>
      </c>
      <c r="C9" s="14">
        <f>C6*Assumptions!C8</f>
        <v>720</v>
      </c>
      <c r="D9" s="14">
        <f>D6*Assumptions!D8</f>
        <v>869.99999999999989</v>
      </c>
      <c r="E9" s="14">
        <f>E6*Assumptions!E8</f>
        <v>983.24999999999977</v>
      </c>
      <c r="F9" s="14">
        <f>F6*Assumptions!F8</f>
        <v>1043.28</v>
      </c>
      <c r="G9" s="14">
        <f>G6*Assumptions!G8</f>
        <v>1105.8768</v>
      </c>
      <c r="H9" s="14">
        <f>H6*Assumptions!H8</f>
        <v>1161.17064</v>
      </c>
    </row>
    <row r="10" spans="2:10" x14ac:dyDescent="0.25">
      <c r="B10" s="16" t="s">
        <v>62</v>
      </c>
      <c r="C10" s="17">
        <f>C8-C9</f>
        <v>287.99999999999977</v>
      </c>
      <c r="D10" s="17">
        <f>D8-D9</f>
        <v>389.99999999999989</v>
      </c>
      <c r="E10" s="17">
        <f>E8-E9</f>
        <v>465.74999999999977</v>
      </c>
      <c r="F10" s="17">
        <f>F8-F9</f>
        <v>540.27000000000021</v>
      </c>
      <c r="G10" s="17">
        <f>G8-G9</f>
        <v>572.6862000000001</v>
      </c>
      <c r="H10" s="17">
        <f>H8-H9</f>
        <v>622.05569999999966</v>
      </c>
    </row>
    <row r="11" spans="2:10" x14ac:dyDescent="0.25">
      <c r="B11" t="s">
        <v>63</v>
      </c>
      <c r="C11" s="12">
        <v>48</v>
      </c>
      <c r="D11" s="14">
        <f>'Balance Sheet'!C10*Assumptions!D18</f>
        <v>52</v>
      </c>
      <c r="E11" s="14">
        <f>'Balance Sheet'!D10*Assumptions!E18</f>
        <v>91.800000000000011</v>
      </c>
      <c r="F11" s="14">
        <f>'Balance Sheet'!E10*Assumptions!F18</f>
        <v>90.62</v>
      </c>
      <c r="G11" s="14">
        <f>'Balance Sheet'!F10*Assumptions!G18</f>
        <v>90.558000000000007</v>
      </c>
      <c r="H11" s="14">
        <f>'Balance Sheet'!G10*Assumptions!H18</f>
        <v>91.502200000000016</v>
      </c>
      <c r="J11" s="6" t="s">
        <v>64</v>
      </c>
    </row>
    <row r="12" spans="2:10" x14ac:dyDescent="0.25">
      <c r="B12" s="16" t="s">
        <v>65</v>
      </c>
      <c r="C12" s="17">
        <f>C10-C11</f>
        <v>239.99999999999977</v>
      </c>
      <c r="D12" s="17">
        <f>D10-D11</f>
        <v>337.99999999999989</v>
      </c>
      <c r="E12" s="17">
        <f>E10-E11</f>
        <v>373.94999999999976</v>
      </c>
      <c r="F12" s="17">
        <f>F10-F11</f>
        <v>449.6500000000002</v>
      </c>
      <c r="G12" s="17">
        <f>G10-G11</f>
        <v>482.12820000000011</v>
      </c>
      <c r="H12" s="17">
        <f>H10-H11</f>
        <v>530.55349999999964</v>
      </c>
    </row>
    <row r="13" spans="2:10" x14ac:dyDescent="0.25">
      <c r="B13" t="s">
        <v>66</v>
      </c>
      <c r="C13" s="12">
        <v>0</v>
      </c>
      <c r="D13" s="14">
        <f>'Balance Sheet'!C15*Assumptions!D21</f>
        <v>0</v>
      </c>
      <c r="E13" s="14">
        <f>'Balance Sheet'!D15*Assumptions!E21</f>
        <v>48</v>
      </c>
      <c r="F13" s="14">
        <f>'Balance Sheet'!E15*Assumptions!F21</f>
        <v>40</v>
      </c>
      <c r="G13" s="14">
        <f>'Balance Sheet'!F15*Assumptions!G21</f>
        <v>32</v>
      </c>
      <c r="H13" s="14">
        <f>'Balance Sheet'!G15*Assumptions!H21</f>
        <v>24</v>
      </c>
      <c r="J13" s="6" t="s">
        <v>67</v>
      </c>
    </row>
    <row r="14" spans="2:10" x14ac:dyDescent="0.25">
      <c r="B14" s="16" t="s">
        <v>68</v>
      </c>
      <c r="C14" s="17">
        <f>C12-C13</f>
        <v>239.99999999999977</v>
      </c>
      <c r="D14" s="17">
        <f>D12-D13</f>
        <v>337.99999999999989</v>
      </c>
      <c r="E14" s="17">
        <f>E12-E13</f>
        <v>325.94999999999976</v>
      </c>
      <c r="F14" s="17">
        <f>F12-F13</f>
        <v>409.6500000000002</v>
      </c>
      <c r="G14" s="17">
        <f>G12-G13</f>
        <v>450.12820000000011</v>
      </c>
      <c r="H14" s="17">
        <f>H12-H13</f>
        <v>506.55349999999964</v>
      </c>
    </row>
    <row r="15" spans="2:10" x14ac:dyDescent="0.25">
      <c r="B15" t="s">
        <v>69</v>
      </c>
      <c r="C15" s="14">
        <f>MAX(0,C14*Assumptions!C9)</f>
        <v>59.999999999999943</v>
      </c>
      <c r="D15" s="14">
        <f>MAX(0,D14*Assumptions!D9)</f>
        <v>84.499999999999972</v>
      </c>
      <c r="E15" s="14">
        <f>MAX(0,E14*Assumptions!E9)</f>
        <v>81.48749999999994</v>
      </c>
      <c r="F15" s="14">
        <f>MAX(0,F14*Assumptions!F9)</f>
        <v>102.41250000000005</v>
      </c>
      <c r="G15" s="14">
        <f>MAX(0,G14*Assumptions!G9)</f>
        <v>112.53205000000003</v>
      </c>
      <c r="H15" s="14">
        <f>MAX(0,H14*Assumptions!H9)</f>
        <v>126.63837499999991</v>
      </c>
    </row>
    <row r="16" spans="2:10" x14ac:dyDescent="0.25">
      <c r="B16" s="18" t="s">
        <v>70</v>
      </c>
      <c r="C16" s="19">
        <f>C14-C15</f>
        <v>179.99999999999983</v>
      </c>
      <c r="D16" s="19">
        <f>D14-D15</f>
        <v>253.49999999999991</v>
      </c>
      <c r="E16" s="19">
        <f>E14-E15</f>
        <v>244.46249999999981</v>
      </c>
      <c r="F16" s="19">
        <f>F14-F15</f>
        <v>307.23750000000018</v>
      </c>
      <c r="G16" s="19">
        <f>G14-G15</f>
        <v>337.59615000000008</v>
      </c>
      <c r="H16" s="19">
        <f>H14-H15</f>
        <v>379.91512499999976</v>
      </c>
      <c r="J16" s="6" t="s">
        <v>71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57AAC7-0652-48AF-8A1C-2F7F72B69753}">
  <dimension ref="B1:J25"/>
  <sheetViews>
    <sheetView showGridLines="0" zoomScaleNormal="100" workbookViewId="0">
      <pane xSplit="2" ySplit="5" topLeftCell="C6" activePane="bottomRight" state="frozenSplit"/>
      <selection pane="bottomLeft" activeCell="A6" sqref="A6"/>
      <selection pane="topRight" activeCell="C1" sqref="C1"/>
      <selection pane="bottomRight" activeCell="C6" sqref="C6"/>
    </sheetView>
  </sheetViews>
  <sheetFormatPr defaultRowHeight="13.2" x14ac:dyDescent="0.25"/>
  <cols>
    <col min="1" max="1" width="2.77734375" customWidth="1"/>
    <col min="2" max="2" width="42.77734375" customWidth="1"/>
    <col min="3" max="8" width="12.77734375" customWidth="1"/>
    <col min="9" max="9" width="2.77734375" customWidth="1"/>
    <col min="10" max="10" width="60.77734375" customWidth="1"/>
  </cols>
  <sheetData>
    <row r="1" spans="2:10" ht="22.8" x14ac:dyDescent="0.4">
      <c r="B1" s="1" t="s">
        <v>23</v>
      </c>
    </row>
    <row r="2" spans="2:10" ht="13.8" x14ac:dyDescent="0.25">
      <c r="B2" s="2" t="s">
        <v>72</v>
      </c>
    </row>
    <row r="3" spans="2:10" x14ac:dyDescent="0.25">
      <c r="B3" s="6" t="s">
        <v>25</v>
      </c>
    </row>
    <row r="5" spans="2:10" x14ac:dyDescent="0.25">
      <c r="B5" s="8" t="s">
        <v>73</v>
      </c>
      <c r="C5" s="9"/>
      <c r="D5" s="9" t="s">
        <v>28</v>
      </c>
      <c r="E5" s="9" t="s">
        <v>29</v>
      </c>
      <c r="F5" s="9" t="s">
        <v>30</v>
      </c>
      <c r="G5" s="9" t="s">
        <v>31</v>
      </c>
      <c r="H5" s="9" t="s">
        <v>32</v>
      </c>
    </row>
    <row r="6" spans="2:10" x14ac:dyDescent="0.25">
      <c r="B6" t="s">
        <v>70</v>
      </c>
      <c r="D6" s="14">
        <f>'Income Statement'!D16</f>
        <v>253.49999999999991</v>
      </c>
      <c r="E6" s="14">
        <f>'Income Statement'!E16</f>
        <v>244.46249999999981</v>
      </c>
      <c r="F6" s="14">
        <f>'Income Statement'!F16</f>
        <v>307.23750000000018</v>
      </c>
      <c r="G6" s="14">
        <f>'Income Statement'!G16</f>
        <v>337.59615000000008</v>
      </c>
      <c r="H6" s="14">
        <f>'Income Statement'!H16</f>
        <v>379.91512499999976</v>
      </c>
    </row>
    <row r="7" spans="2:10" x14ac:dyDescent="0.25">
      <c r="B7" t="s">
        <v>74</v>
      </c>
      <c r="D7" s="14">
        <f>'Income Statement'!D11</f>
        <v>52</v>
      </c>
      <c r="E7" s="14">
        <f>'Income Statement'!E11</f>
        <v>91.800000000000011</v>
      </c>
      <c r="F7" s="14">
        <f>'Income Statement'!F11</f>
        <v>90.62</v>
      </c>
      <c r="G7" s="14">
        <f>'Income Statement'!G11</f>
        <v>90.558000000000007</v>
      </c>
      <c r="H7" s="14">
        <f>'Income Statement'!H11</f>
        <v>91.502200000000016</v>
      </c>
      <c r="J7" s="6" t="s">
        <v>75</v>
      </c>
    </row>
    <row r="8" spans="2:10" x14ac:dyDescent="0.25">
      <c r="B8" t="s">
        <v>76</v>
      </c>
      <c r="D8" s="14">
        <f>'Balance Sheet'!C7-'Balance Sheet'!D7</f>
        <v>-16.191780821917803</v>
      </c>
      <c r="E8" s="14">
        <f>'Balance Sheet'!D7-'Balance Sheet'!E7</f>
        <v>-12.328767123287662</v>
      </c>
      <c r="F8" s="14">
        <f>'Balance Sheet'!E7-'Balance Sheet'!F7</f>
        <v>-7.5616438356164366</v>
      </c>
      <c r="G8" s="14">
        <f>'Balance Sheet'!F7-'Balance Sheet'!G7</f>
        <v>-6.1249315068493075</v>
      </c>
      <c r="H8" s="14">
        <f>'Balance Sheet'!G7-'Balance Sheet'!H7</f>
        <v>-5.4103561643835718</v>
      </c>
    </row>
    <row r="9" spans="2:10" x14ac:dyDescent="0.25">
      <c r="B9" t="s">
        <v>77</v>
      </c>
      <c r="D9" s="14">
        <f>'Balance Sheet'!C8-'Balance Sheet'!D8</f>
        <v>-114.05479452054806</v>
      </c>
      <c r="E9" s="14">
        <f>'Balance Sheet'!D8-'Balance Sheet'!E8</f>
        <v>-85.808219178082027</v>
      </c>
      <c r="F9" s="14">
        <f>'Balance Sheet'!E8-'Balance Sheet'!F8</f>
        <v>-17.155479452054578</v>
      </c>
      <c r="G9" s="14">
        <f>'Balance Sheet'!F8-'Balance Sheet'!G8</f>
        <v>-40.501109589041221</v>
      </c>
      <c r="H9" s="14">
        <f>'Balance Sheet'!G8-'Balance Sheet'!H8</f>
        <v>3.1380065753423878</v>
      </c>
      <c r="J9" s="6" t="s">
        <v>78</v>
      </c>
    </row>
    <row r="10" spans="2:10" x14ac:dyDescent="0.25">
      <c r="B10" t="s">
        <v>79</v>
      </c>
      <c r="D10" s="14">
        <f>'Balance Sheet'!D14-'Balance Sheet'!C14</f>
        <v>42.520547945205522</v>
      </c>
      <c r="E10" s="14">
        <f>'Balance Sheet'!E14-'Balance Sheet'!D14</f>
        <v>32.178082191780788</v>
      </c>
      <c r="F10" s="14">
        <f>'Balance Sheet'!F14-'Balance Sheet'!E14</f>
        <v>17.439041095890332</v>
      </c>
      <c r="G10" s="14">
        <f>'Balance Sheet'!G14-'Balance Sheet'!F14</f>
        <v>15.848260273972585</v>
      </c>
      <c r="H10" s="14">
        <f>'Balance Sheet'!H14-'Balance Sheet'!G14</f>
        <v>11.442903287671299</v>
      </c>
      <c r="J10" s="6" t="s">
        <v>80</v>
      </c>
    </row>
    <row r="11" spans="2:10" x14ac:dyDescent="0.25">
      <c r="B11" s="16" t="s">
        <v>81</v>
      </c>
      <c r="D11" s="17">
        <f>SUM(D6:D10)</f>
        <v>217.77397260273955</v>
      </c>
      <c r="E11" s="17">
        <f>SUM(E6:E10)</f>
        <v>270.30359589041092</v>
      </c>
      <c r="F11" s="17">
        <f>SUM(F6:F10)</f>
        <v>390.57941780821949</v>
      </c>
      <c r="G11" s="17">
        <f>SUM(G6:G10)</f>
        <v>397.37636917808214</v>
      </c>
      <c r="H11" s="17">
        <f>SUM(H6:H10)</f>
        <v>480.58787869862988</v>
      </c>
    </row>
    <row r="13" spans="2:10" ht="15.6" x14ac:dyDescent="0.3">
      <c r="B13" s="4" t="s">
        <v>82</v>
      </c>
    </row>
    <row r="14" spans="2:10" x14ac:dyDescent="0.25">
      <c r="B14" t="s">
        <v>47</v>
      </c>
      <c r="D14" s="14">
        <f>-Assumptions!D17</f>
        <v>-450</v>
      </c>
      <c r="E14" s="14">
        <f>-Assumptions!E17</f>
        <v>-80</v>
      </c>
      <c r="F14" s="14">
        <f>-Assumptions!F17</f>
        <v>-90</v>
      </c>
      <c r="G14" s="14">
        <f>-Assumptions!G17</f>
        <v>-100</v>
      </c>
      <c r="H14" s="14">
        <f>-Assumptions!H17</f>
        <v>-110</v>
      </c>
    </row>
    <row r="15" spans="2:10" x14ac:dyDescent="0.25">
      <c r="B15" s="16" t="s">
        <v>83</v>
      </c>
      <c r="D15" s="17">
        <f>D14</f>
        <v>-450</v>
      </c>
      <c r="E15" s="17">
        <f>E14</f>
        <v>-80</v>
      </c>
      <c r="F15" s="17">
        <f>F14</f>
        <v>-90</v>
      </c>
      <c r="G15" s="17">
        <f>G14</f>
        <v>-100</v>
      </c>
      <c r="H15" s="17">
        <f>H14</f>
        <v>-110</v>
      </c>
    </row>
    <row r="17" spans="2:10" ht="15.6" x14ac:dyDescent="0.3">
      <c r="B17" s="4" t="s">
        <v>84</v>
      </c>
    </row>
    <row r="18" spans="2:10" x14ac:dyDescent="0.25">
      <c r="B18" t="s">
        <v>85</v>
      </c>
      <c r="D18" s="14">
        <f>Assumptions!D19</f>
        <v>600</v>
      </c>
      <c r="E18" s="14">
        <f>Assumptions!E19</f>
        <v>0</v>
      </c>
      <c r="F18" s="14">
        <f>Assumptions!F19</f>
        <v>0</v>
      </c>
      <c r="G18" s="14">
        <f>Assumptions!G19</f>
        <v>0</v>
      </c>
      <c r="H18" s="14">
        <f>Assumptions!H19</f>
        <v>0</v>
      </c>
    </row>
    <row r="19" spans="2:10" x14ac:dyDescent="0.25">
      <c r="B19" t="s">
        <v>86</v>
      </c>
      <c r="D19" s="14">
        <f>-Assumptions!D20</f>
        <v>0</v>
      </c>
      <c r="E19" s="14">
        <f>-Assumptions!E20</f>
        <v>-100</v>
      </c>
      <c r="F19" s="14">
        <f>-Assumptions!F20</f>
        <v>-100</v>
      </c>
      <c r="G19" s="14">
        <f>-Assumptions!G20</f>
        <v>-100</v>
      </c>
      <c r="H19" s="14">
        <f>-Assumptions!H20</f>
        <v>-100</v>
      </c>
    </row>
    <row r="20" spans="2:10" x14ac:dyDescent="0.25">
      <c r="B20" t="s">
        <v>54</v>
      </c>
      <c r="D20" s="14">
        <f>-Assumptions!D22</f>
        <v>0</v>
      </c>
      <c r="E20" s="14">
        <f>-Assumptions!E22</f>
        <v>0</v>
      </c>
      <c r="F20" s="14">
        <f>-Assumptions!F22</f>
        <v>-50</v>
      </c>
      <c r="G20" s="14">
        <f>-Assumptions!G22</f>
        <v>-80</v>
      </c>
      <c r="H20" s="14">
        <f>-Assumptions!H22</f>
        <v>-100</v>
      </c>
    </row>
    <row r="21" spans="2:10" x14ac:dyDescent="0.25">
      <c r="B21" s="16" t="s">
        <v>87</v>
      </c>
      <c r="D21" s="17">
        <f>SUM(D18:D20)</f>
        <v>600</v>
      </c>
      <c r="E21" s="17">
        <f>SUM(E18:E20)</f>
        <v>-100</v>
      </c>
      <c r="F21" s="17">
        <f>SUM(F18:F20)</f>
        <v>-150</v>
      </c>
      <c r="G21" s="17">
        <f>SUM(G18:G20)</f>
        <v>-180</v>
      </c>
      <c r="H21" s="17">
        <f>SUM(H18:H20)</f>
        <v>-200</v>
      </c>
    </row>
    <row r="23" spans="2:10" x14ac:dyDescent="0.25">
      <c r="B23" s="16" t="s">
        <v>88</v>
      </c>
      <c r="D23" s="17">
        <f>D11+D15+D21</f>
        <v>367.77397260273955</v>
      </c>
      <c r="E23" s="17">
        <f>E11+E15+E21</f>
        <v>90.303595890410918</v>
      </c>
      <c r="F23" s="17">
        <f>F11+F15+F21</f>
        <v>150.57941780821949</v>
      </c>
      <c r="G23" s="17">
        <f>G11+G15+G21</f>
        <v>117.37636917808214</v>
      </c>
      <c r="H23" s="17">
        <f>H11+H15+H21</f>
        <v>170.58787869862988</v>
      </c>
    </row>
    <row r="24" spans="2:10" x14ac:dyDescent="0.25">
      <c r="B24" t="s">
        <v>89</v>
      </c>
      <c r="D24" s="14">
        <f>'Balance Sheet'!C6</f>
        <v>180</v>
      </c>
      <c r="E24" s="14">
        <f>'Balance Sheet'!D6</f>
        <v>547.7739726027396</v>
      </c>
      <c r="F24" s="14">
        <f>'Balance Sheet'!E6</f>
        <v>638.07756849315047</v>
      </c>
      <c r="G24" s="14">
        <f>'Balance Sheet'!F6</f>
        <v>788.6569863013699</v>
      </c>
      <c r="H24" s="14">
        <f>'Balance Sheet'!G6</f>
        <v>906.03335547945198</v>
      </c>
    </row>
    <row r="25" spans="2:10" x14ac:dyDescent="0.25">
      <c r="B25" s="18" t="s">
        <v>90</v>
      </c>
      <c r="C25" s="20"/>
      <c r="D25" s="19">
        <f>D24+D23</f>
        <v>547.7739726027396</v>
      </c>
      <c r="E25" s="19">
        <f>E24+E23</f>
        <v>638.07756849315047</v>
      </c>
      <c r="F25" s="19">
        <f>F24+F23</f>
        <v>788.6569863013699</v>
      </c>
      <c r="G25" s="19">
        <f>G24+G23</f>
        <v>906.03335547945198</v>
      </c>
      <c r="H25" s="19">
        <f>H24+H23</f>
        <v>1076.621234178082</v>
      </c>
      <c r="J25" s="6" t="s">
        <v>91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5CD99-AE13-447D-A8BF-6412FB7F948C}">
  <dimension ref="B1:J20"/>
  <sheetViews>
    <sheetView showGridLines="0" zoomScaleNormal="100" workbookViewId="0">
      <pane xSplit="2" ySplit="5" topLeftCell="C6" activePane="bottomRight" state="frozenSplit"/>
      <selection pane="bottomLeft" activeCell="A6" sqref="A6"/>
      <selection pane="topRight" activeCell="C1" sqref="C1"/>
      <selection pane="bottomRight" activeCell="C6" sqref="C6"/>
    </sheetView>
  </sheetViews>
  <sheetFormatPr defaultRowHeight="13.2" x14ac:dyDescent="0.25"/>
  <cols>
    <col min="1" max="1" width="2.77734375" customWidth="1"/>
    <col min="2" max="2" width="42.77734375" customWidth="1"/>
    <col min="3" max="8" width="12.77734375" customWidth="1"/>
    <col min="9" max="9" width="2.77734375" customWidth="1"/>
    <col min="10" max="10" width="60.77734375" customWidth="1"/>
  </cols>
  <sheetData>
    <row r="1" spans="2:10" ht="22.8" x14ac:dyDescent="0.4">
      <c r="B1" s="1" t="s">
        <v>23</v>
      </c>
    </row>
    <row r="2" spans="2:10" ht="13.8" x14ac:dyDescent="0.25">
      <c r="B2" s="2" t="s">
        <v>92</v>
      </c>
    </row>
    <row r="3" spans="2:10" x14ac:dyDescent="0.25">
      <c r="B3" s="6" t="s">
        <v>25</v>
      </c>
    </row>
    <row r="5" spans="2:10" x14ac:dyDescent="0.25">
      <c r="B5" s="8" t="s">
        <v>93</v>
      </c>
      <c r="C5" s="9" t="s">
        <v>27</v>
      </c>
      <c r="D5" s="9" t="s">
        <v>28</v>
      </c>
      <c r="E5" s="9" t="s">
        <v>29</v>
      </c>
      <c r="F5" s="9" t="s">
        <v>30</v>
      </c>
      <c r="G5" s="9" t="s">
        <v>31</v>
      </c>
      <c r="H5" s="9" t="s">
        <v>32</v>
      </c>
    </row>
    <row r="6" spans="2:10" x14ac:dyDescent="0.25">
      <c r="B6" t="s">
        <v>94</v>
      </c>
      <c r="C6" s="12">
        <v>180</v>
      </c>
      <c r="D6" s="14">
        <f>'Cash Flow'!D25</f>
        <v>547.7739726027396</v>
      </c>
      <c r="E6" s="14">
        <f>'Cash Flow'!E25</f>
        <v>638.07756849315047</v>
      </c>
      <c r="F6" s="14">
        <f>'Cash Flow'!F25</f>
        <v>788.6569863013699</v>
      </c>
      <c r="G6" s="14">
        <f>'Cash Flow'!G25</f>
        <v>906.03335547945198</v>
      </c>
      <c r="H6" s="14">
        <f>'Cash Flow'!H25</f>
        <v>1076.621234178082</v>
      </c>
    </row>
    <row r="7" spans="2:10" x14ac:dyDescent="0.25">
      <c r="B7" t="s">
        <v>95</v>
      </c>
      <c r="C7" s="12">
        <v>66</v>
      </c>
      <c r="D7" s="14">
        <f>'Income Statement'!D6*Assumptions!D12/365</f>
        <v>82.191780821917803</v>
      </c>
      <c r="E7" s="14">
        <f>'Income Statement'!E6*Assumptions!E12/365</f>
        <v>94.520547945205465</v>
      </c>
      <c r="F7" s="14">
        <f>'Income Statement'!F6*Assumptions!F12/365</f>
        <v>102.0821917808219</v>
      </c>
      <c r="G7" s="14">
        <f>'Income Statement'!G6*Assumptions!G12/365</f>
        <v>108.20712328767121</v>
      </c>
      <c r="H7" s="14">
        <f>'Income Statement'!H6*Assumptions!H12/365</f>
        <v>113.61747945205478</v>
      </c>
    </row>
    <row r="8" spans="2:10" x14ac:dyDescent="0.25">
      <c r="B8" t="s">
        <v>96</v>
      </c>
      <c r="C8" s="12">
        <v>458</v>
      </c>
      <c r="D8" s="14">
        <f>'Income Statement'!D7*Assumptions!D13/365</f>
        <v>572.05479452054806</v>
      </c>
      <c r="E8" s="14">
        <f>'Income Statement'!E7*Assumptions!E13/365</f>
        <v>657.86301369863008</v>
      </c>
      <c r="F8" s="14">
        <f>'Income Statement'!F7*Assumptions!F13/365</f>
        <v>675.01849315068466</v>
      </c>
      <c r="G8" s="14">
        <f>'Income Statement'!G7*Assumptions!G13/365</f>
        <v>715.51960273972588</v>
      </c>
      <c r="H8" s="14">
        <f>'Income Statement'!H7*Assumptions!H13/365</f>
        <v>712.3815961643835</v>
      </c>
    </row>
    <row r="9" spans="2:10" x14ac:dyDescent="0.25">
      <c r="B9" s="16" t="s">
        <v>97</v>
      </c>
      <c r="C9" s="17">
        <f>SUM(C6:C8)</f>
        <v>704</v>
      </c>
      <c r="D9" s="17">
        <f>SUM(D6:D8)</f>
        <v>1202.0205479452054</v>
      </c>
      <c r="E9" s="17">
        <f>SUM(E6:E8)</f>
        <v>1390.461130136986</v>
      </c>
      <c r="F9" s="17">
        <f>SUM(F6:F8)</f>
        <v>1565.7576712328764</v>
      </c>
      <c r="G9" s="17">
        <f>SUM(G6:G8)</f>
        <v>1729.760081506849</v>
      </c>
      <c r="H9" s="17">
        <f>SUM(H6:H8)</f>
        <v>1902.6203097945204</v>
      </c>
    </row>
    <row r="10" spans="2:10" x14ac:dyDescent="0.25">
      <c r="B10" t="s">
        <v>98</v>
      </c>
      <c r="C10" s="12">
        <v>520</v>
      </c>
      <c r="D10" s="14">
        <f>C10+Assumptions!D17-'Income Statement'!D11</f>
        <v>918</v>
      </c>
      <c r="E10" s="14">
        <f>D10+Assumptions!E17-'Income Statement'!E11</f>
        <v>906.2</v>
      </c>
      <c r="F10" s="14">
        <f>E10+Assumptions!F17-'Income Statement'!F11</f>
        <v>905.58</v>
      </c>
      <c r="G10" s="14">
        <f>F10+Assumptions!G17-'Income Statement'!G11</f>
        <v>915.02200000000005</v>
      </c>
      <c r="H10" s="14">
        <f>G10+Assumptions!H17-'Income Statement'!H11</f>
        <v>933.51979999999992</v>
      </c>
      <c r="J10" s="6" t="s">
        <v>99</v>
      </c>
    </row>
    <row r="11" spans="2:10" x14ac:dyDescent="0.25">
      <c r="B11" s="18" t="s">
        <v>100</v>
      </c>
      <c r="C11" s="19">
        <f>C9+C10</f>
        <v>1224</v>
      </c>
      <c r="D11" s="19">
        <f>D9+D10</f>
        <v>2120.0205479452052</v>
      </c>
      <c r="E11" s="19">
        <f>E9+E10</f>
        <v>2296.6611301369858</v>
      </c>
      <c r="F11" s="19">
        <f>F9+F10</f>
        <v>2471.3376712328763</v>
      </c>
      <c r="G11" s="19">
        <f>G9+G10</f>
        <v>2644.782081506849</v>
      </c>
      <c r="H11" s="19">
        <f>H9+H10</f>
        <v>2836.1401097945204</v>
      </c>
    </row>
    <row r="13" spans="2:10" ht="15.6" x14ac:dyDescent="0.3">
      <c r="B13" s="4" t="s">
        <v>101</v>
      </c>
    </row>
    <row r="14" spans="2:10" x14ac:dyDescent="0.25">
      <c r="B14" t="s">
        <v>102</v>
      </c>
      <c r="C14" s="12">
        <v>172</v>
      </c>
      <c r="D14" s="14">
        <f>'Income Statement'!D7*Assumptions!D14/365</f>
        <v>214.52054794520552</v>
      </c>
      <c r="E14" s="14">
        <f>'Income Statement'!E7*Assumptions!E14/365</f>
        <v>246.69863013698631</v>
      </c>
      <c r="F14" s="14">
        <f>'Income Statement'!F7*Assumptions!F14/365</f>
        <v>264.13767123287664</v>
      </c>
      <c r="G14" s="14">
        <f>'Income Statement'!G7*Assumptions!G14/365</f>
        <v>279.98593150684923</v>
      </c>
      <c r="H14" s="14">
        <f>'Income Statement'!H7*Assumptions!H14/365</f>
        <v>291.42883479452053</v>
      </c>
    </row>
    <row r="15" spans="2:10" x14ac:dyDescent="0.25">
      <c r="B15" t="s">
        <v>103</v>
      </c>
      <c r="C15" s="12">
        <v>0</v>
      </c>
      <c r="D15" s="14">
        <f>C15+'Cash Flow'!D18+'Cash Flow'!D19</f>
        <v>600</v>
      </c>
      <c r="E15" s="14">
        <f>D15+'Cash Flow'!E18+'Cash Flow'!E19</f>
        <v>500</v>
      </c>
      <c r="F15" s="14">
        <f>E15+'Cash Flow'!F18+'Cash Flow'!F19</f>
        <v>400</v>
      </c>
      <c r="G15" s="14">
        <f>F15+'Cash Flow'!G18+'Cash Flow'!G19</f>
        <v>300</v>
      </c>
      <c r="H15" s="14">
        <f>G15+'Cash Flow'!H18+'Cash Flow'!H19</f>
        <v>200</v>
      </c>
    </row>
    <row r="16" spans="2:10" x14ac:dyDescent="0.25">
      <c r="B16" s="16" t="s">
        <v>104</v>
      </c>
      <c r="C16" s="17">
        <f>C14+C15</f>
        <v>172</v>
      </c>
      <c r="D16" s="17">
        <f>D14+D15</f>
        <v>814.52054794520552</v>
      </c>
      <c r="E16" s="17">
        <f>E14+E15</f>
        <v>746.69863013698637</v>
      </c>
      <c r="F16" s="17">
        <f>F14+F15</f>
        <v>664.13767123287664</v>
      </c>
      <c r="G16" s="17">
        <f>G14+G15</f>
        <v>579.98593150684928</v>
      </c>
      <c r="H16" s="17">
        <f>H14+H15</f>
        <v>491.42883479452053</v>
      </c>
    </row>
    <row r="17" spans="2:10" x14ac:dyDescent="0.25">
      <c r="B17" t="s">
        <v>105</v>
      </c>
      <c r="C17" s="12">
        <v>1052</v>
      </c>
      <c r="D17" s="14">
        <f>C17+'Income Statement'!D16+'Cash Flow'!D20</f>
        <v>1305.5</v>
      </c>
      <c r="E17" s="14">
        <f>D17+'Income Statement'!E16+'Cash Flow'!E20</f>
        <v>1549.9624999999999</v>
      </c>
      <c r="F17" s="14">
        <f>E17+'Income Statement'!F16+'Cash Flow'!F20</f>
        <v>1807.2</v>
      </c>
      <c r="G17" s="14">
        <f>F17+'Income Statement'!G16+'Cash Flow'!G20</f>
        <v>2064.7961500000001</v>
      </c>
      <c r="H17" s="14">
        <f>G17+'Income Statement'!H16+'Cash Flow'!H20</f>
        <v>2344.7112749999997</v>
      </c>
      <c r="J17" s="6" t="s">
        <v>106</v>
      </c>
    </row>
    <row r="18" spans="2:10" x14ac:dyDescent="0.25">
      <c r="B18" s="18" t="s">
        <v>107</v>
      </c>
      <c r="C18" s="19">
        <f>C16+C17</f>
        <v>1224</v>
      </c>
      <c r="D18" s="19">
        <f>D16+D17</f>
        <v>2120.0205479452056</v>
      </c>
      <c r="E18" s="19">
        <f>E16+E17</f>
        <v>2296.6611301369862</v>
      </c>
      <c r="F18" s="19">
        <f>F16+F17</f>
        <v>2471.3376712328768</v>
      </c>
      <c r="G18" s="19">
        <f>G16+G17</f>
        <v>2644.7820815068494</v>
      </c>
      <c r="H18" s="19">
        <f>H16+H17</f>
        <v>2836.14010979452</v>
      </c>
    </row>
    <row r="20" spans="2:10" x14ac:dyDescent="0.25">
      <c r="B20" s="21" t="s">
        <v>108</v>
      </c>
      <c r="C20" s="22">
        <f>ROUND(C11-C18,3)</f>
        <v>0</v>
      </c>
      <c r="D20" s="22">
        <f>ROUND(D11-D18,3)</f>
        <v>0</v>
      </c>
      <c r="E20" s="22">
        <f>ROUND(E11-E18,3)</f>
        <v>0</v>
      </c>
      <c r="F20" s="22">
        <f>ROUND(F11-F18,3)</f>
        <v>0</v>
      </c>
      <c r="G20" s="22">
        <f>ROUND(G11-G18,3)</f>
        <v>0</v>
      </c>
      <c r="H20" s="22">
        <f>ROUND(H11-H18,3)</f>
        <v>0</v>
      </c>
      <c r="J20" s="6" t="s">
        <v>109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Start Here</vt:lpstr>
      <vt:lpstr>Assumptions</vt:lpstr>
      <vt:lpstr>Income Statement</vt:lpstr>
      <vt:lpstr>Cash Flow</vt:lpstr>
      <vt:lpstr>Balance Sheet</vt:lpstr>
    </vt:vector>
  </TitlesOfParts>
  <Company>LBO Reps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LBO Reps</dc:creator>
  <cp:lastModifiedBy>LBO Reps</cp:lastModifiedBy>
  <dcterms:created xsi:type="dcterms:W3CDTF">2026-11-01T01:02:30Z</dcterms:created>
  <dcterms:modified xsi:type="dcterms:W3CDTF">2026-11-01T01:02:34Z</dcterms:modified>
</cp:coreProperties>
</file>