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cf4175ee707a53/Desktop/LBO-Reps-app/site/templates/"/>
    </mc:Choice>
  </mc:AlternateContent>
  <xr:revisionPtr revIDLastSave="0" documentId="8_{47F28A93-487A-438C-B6CC-D970D679375D}" xr6:coauthVersionLast="47" xr6:coauthVersionMax="47" xr10:uidLastSave="{00000000-0000-0000-0000-000000000000}"/>
  <bookViews>
    <workbookView xWindow="-108" yWindow="-108" windowWidth="23256" windowHeight="13896" xr2:uid="{407410DF-19CC-4BC1-A156-211F08C15E9B}"/>
  </bookViews>
  <sheets>
    <sheet name="Start Here" sheetId="1" r:id="rId1"/>
    <sheet name="LB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2" l="1"/>
  <c r="D63" i="2"/>
  <c r="C39" i="2"/>
  <c r="C37" i="2"/>
  <c r="C35" i="2"/>
  <c r="D32" i="2"/>
  <c r="C6" i="2"/>
  <c r="E32" i="2" l="1"/>
  <c r="D41" i="2"/>
  <c r="D48" i="2" s="1"/>
  <c r="D39" i="2"/>
  <c r="D47" i="2" s="1"/>
  <c r="D37" i="2"/>
  <c r="D35" i="2"/>
  <c r="D44" i="2" s="1"/>
  <c r="C22" i="2"/>
  <c r="C60" i="2" s="1"/>
  <c r="D58" i="2" s="1"/>
  <c r="C21" i="2"/>
  <c r="C8" i="2"/>
  <c r="E39" i="2" l="1"/>
  <c r="E47" i="2" s="1"/>
  <c r="E35" i="2"/>
  <c r="E44" i="2" s="1"/>
  <c r="E41" i="2"/>
  <c r="E48" i="2" s="1"/>
  <c r="E37" i="2"/>
  <c r="F32" i="2"/>
  <c r="D59" i="2"/>
  <c r="D60" i="2"/>
  <c r="E58" i="2" s="1"/>
  <c r="C56" i="2"/>
  <c r="C10" i="2"/>
  <c r="C27" i="2"/>
  <c r="F41" i="2" l="1"/>
  <c r="F48" i="2" s="1"/>
  <c r="F35" i="2"/>
  <c r="F44" i="2" s="1"/>
  <c r="F39" i="2"/>
  <c r="F47" i="2" s="1"/>
  <c r="F37" i="2"/>
  <c r="G32" i="2"/>
  <c r="E60" i="2"/>
  <c r="F58" i="2" s="1"/>
  <c r="E59" i="2"/>
  <c r="C66" i="2"/>
  <c r="C67" i="2" s="1"/>
  <c r="C68" i="2" s="1"/>
  <c r="D52" i="2"/>
  <c r="C28" i="2"/>
  <c r="C88" i="2"/>
  <c r="C29" i="2"/>
  <c r="D27" i="2" s="1"/>
  <c r="G39" i="2" l="1"/>
  <c r="G47" i="2" s="1"/>
  <c r="G37" i="2"/>
  <c r="G41" i="2"/>
  <c r="G48" i="2" s="1"/>
  <c r="G35" i="2"/>
  <c r="G44" i="2" s="1"/>
  <c r="H32" i="2"/>
  <c r="F60" i="2"/>
  <c r="G58" i="2" s="1"/>
  <c r="F59" i="2"/>
  <c r="D54" i="2"/>
  <c r="D53" i="2"/>
  <c r="D28" i="2"/>
  <c r="D29" i="2" s="1"/>
  <c r="C23" i="2"/>
  <c r="H39" i="2" l="1"/>
  <c r="H47" i="2" s="1"/>
  <c r="H37" i="2"/>
  <c r="H35" i="2"/>
  <c r="H41" i="2"/>
  <c r="H48" i="2" s="1"/>
  <c r="G60" i="2"/>
  <c r="H58" i="2" s="1"/>
  <c r="G59" i="2"/>
  <c r="D45" i="2"/>
  <c r="D46" i="2"/>
  <c r="C81" i="2"/>
  <c r="C76" i="2"/>
  <c r="C24" i="2"/>
  <c r="D23" i="2" s="1"/>
  <c r="C71" i="2" l="1"/>
  <c r="C73" i="2" s="1"/>
  <c r="C85" i="2"/>
  <c r="C86" i="2"/>
  <c r="H44" i="2"/>
  <c r="H60" i="2"/>
  <c r="H59" i="2"/>
  <c r="D49" i="2"/>
  <c r="D21" i="2"/>
  <c r="D22" i="2"/>
  <c r="D55" i="2" l="1"/>
  <c r="D24" i="2"/>
  <c r="D56" i="2" l="1"/>
  <c r="D64" i="2"/>
  <c r="D65" i="2" s="1"/>
  <c r="E63" i="2" s="1"/>
  <c r="D66" i="2" l="1"/>
  <c r="D67" i="2" s="1"/>
  <c r="D68" i="2" s="1"/>
  <c r="E52" i="2"/>
  <c r="E54" i="2" l="1"/>
  <c r="E53" i="2"/>
  <c r="E46" i="2" l="1"/>
  <c r="E45" i="2"/>
  <c r="E49" i="2" l="1"/>
  <c r="E64" i="2" l="1"/>
  <c r="E65" i="2" s="1"/>
  <c r="F63" i="2" s="1"/>
  <c r="E55" i="2"/>
  <c r="E56" i="2" s="1"/>
  <c r="F52" i="2" l="1"/>
  <c r="E66" i="2"/>
  <c r="E67" i="2" s="1"/>
  <c r="E68" i="2" s="1"/>
  <c r="F53" i="2" l="1"/>
  <c r="F54" i="2"/>
  <c r="F46" i="2" l="1"/>
  <c r="F45" i="2"/>
  <c r="F49" i="2" s="1"/>
  <c r="F55" i="2" s="1"/>
  <c r="F56" i="2" l="1"/>
  <c r="F64" i="2"/>
  <c r="F65" i="2" s="1"/>
  <c r="G63" i="2" s="1"/>
  <c r="F66" i="2" l="1"/>
  <c r="F67" i="2" s="1"/>
  <c r="F68" i="2" s="1"/>
  <c r="G52" i="2"/>
  <c r="G53" i="2" l="1"/>
  <c r="G54" i="2"/>
  <c r="G46" i="2" l="1"/>
  <c r="G45" i="2"/>
  <c r="G49" i="2" s="1"/>
  <c r="G55" i="2" l="1"/>
  <c r="G56" i="2" l="1"/>
  <c r="G64" i="2"/>
  <c r="G65" i="2" s="1"/>
  <c r="H63" i="2" s="1"/>
  <c r="G66" i="2" l="1"/>
  <c r="G67" i="2" s="1"/>
  <c r="G68" i="2" s="1"/>
  <c r="H52" i="2"/>
  <c r="H54" i="2" l="1"/>
  <c r="H53" i="2"/>
  <c r="H45" i="2" l="1"/>
  <c r="H49" i="2" s="1"/>
  <c r="H55" i="2" s="1"/>
  <c r="H46" i="2"/>
  <c r="H56" i="2" l="1"/>
  <c r="H66" i="2" s="1"/>
  <c r="H67" i="2" s="1"/>
  <c r="H64" i="2"/>
  <c r="H65" i="2" s="1"/>
  <c r="C87" i="2" l="1"/>
  <c r="H68" i="2"/>
  <c r="C74" i="2"/>
  <c r="C75" i="2" s="1"/>
  <c r="C90" i="2" l="1"/>
  <c r="D87" i="2" s="1"/>
  <c r="H81" i="2"/>
  <c r="C82" i="2" s="1"/>
  <c r="C77" i="2"/>
  <c r="C78" i="2" s="1"/>
  <c r="C91" i="2" l="1"/>
  <c r="D88" i="2"/>
  <c r="D86" i="2"/>
  <c r="D85" i="2"/>
  <c r="D90" i="2" l="1"/>
</calcChain>
</file>

<file path=xl/sharedStrings.xml><?xml version="1.0" encoding="utf-8"?>
<sst xmlns="http://schemas.openxmlformats.org/spreadsheetml/2006/main" count="154" uniqueCount="130">
  <si>
    <t>Saltmarsh Heating &amp; Air: LBO Model Template</t>
  </si>
  <si>
    <t>A founder ready to retire, a private equity firm ready to buy, and you, building the model that decides the price.</t>
  </si>
  <si>
    <t>The story</t>
  </si>
  <si>
    <t>In 1994, Ray Delgado bought a used van, a set of gauges and a phone line, and started fixing air conditioners in Wilmington, North Carolina. Thirty years later, Saltmarsh Heating &amp; Air has 340 employees, a fleet of 180 service vans and about 60,000 homeowners on maintenance plans. Last year it did $80 million of revenue and $12 million of EBITDA.</t>
  </si>
  <si>
    <t>Ray is 64. His kids don't want to run the business, and he wants to retire knowing his technicians are in good hands. Lanternfish Partners, a middle-market private equity firm, has offered to buy Saltmarsh. Its plan: add more homeowners to maintenance plans, raise margins with better scheduling software, and pay down the acquisition debt with Saltmarsh's steady cash flow.</t>
  </si>
  <si>
    <t>You're the first-year associate on the deal. The investment committee meets Monday, and the partner wants one answer: at 7.5x EBITDA, can Lanternfish earn at least a 20% IRR over five years?</t>
  </si>
  <si>
    <t>Your job</t>
  </si>
  <si>
    <t>Build the LBO: size the debt, fill in sources and uses, project five years of operations and free cash flow, pay down debt with a cash sweep, and calculate the sponsor's exit equity, MOIC and IRR. Then explain where the return comes from.</t>
  </si>
  <si>
    <t>What you'll learn</t>
  </si>
  <si>
    <t>â€¢  Sources and uses: how a buyout is funded with term loans, subordinated notes and sponsor equity</t>
  </si>
  <si>
    <t>â€¢  Free cash flow to debt holders: EBITDA less interest, taxes, capex and working capital</t>
  </si>
  <si>
    <t>â€¢  A debt schedule with mandatory amortization and a 100% cash sweep</t>
  </si>
  <si>
    <t>â€¢  Exit value, MOIC and IRR, calculated two ways so you can check your work</t>
  </si>
  <si>
    <t>â€¢  A value creation bridge: how much of the gain came from EBITDA growth, multiple expansion and debt paydown</t>
  </si>
  <si>
    <t>How this workbook works</t>
  </si>
  <si>
    <t>Everything is on the LBO sheet, working top to bottom in the same order you'd build it in a modeling test. Blue cells on yellow are inputs; black cells are formulas. The deal closes at the end of FY2025, and Lanternfish exits at the end of FY2030. All figures are in $ millions. Interest is charged on opening debt balances to avoid circular references, a common simplification in modeling tests.</t>
  </si>
  <si>
    <t>Try this</t>
  </si>
  <si>
    <t>1.  Another bidder appears and Lanternfish has to pay 8.5x instead of 7.5x. What happens to the IRR? Does it still clear the 20% hurdle?</t>
  </si>
  <si>
    <t>2.  Lenders will only provide 3.0x term loan leverage instead of 3.5x. More equity, less debt: what happens to MOIC and IRR, and why?</t>
  </si>
  <si>
    <t>3.  The scheduling software doesn't work and margins stay flat at 15%. How much of the return disappears? Use the value creation bridge to explain it.</t>
  </si>
  <si>
    <t>4.  Assume Lanternfish sells for 6.5x (multiple contraction). What exit EBITDA would it need to still earn 2.5x MOIC?</t>
  </si>
  <si>
    <t>5.  Paper LBO practice: before touching the model, estimate the IRR using the rule of thumb that 2x in 5 years is about 15% and 3x is about 25%.</t>
  </si>
  <si>
    <t>Practice it on LBO Reps</t>
  </si>
  <si>
    <t>Build each step yourself, with instant feedback: "Sources and uses" (www.financialmodelingcourse.io/#lesson-2), "Debt schedule and cash sweep" (#lesson-5), "Exit and sponsor returns" (#lesson-6) and "Value creation bridge" (#lesson-7).</t>
  </si>
  <si>
    <t>Saltmarsh Heating &amp; Air, Lanternfish Partners, the people in this story and all figures are fictional and for education only.</t>
  </si>
  <si>
    <t>Free template from LBO Reps  Â·  www.financialmodelingcourse.io  Â·  Practice building LBOs one formula at a time.</t>
  </si>
  <si>
    <t>Saltmarsh Heating &amp; Air: Leveraged Buyout</t>
  </si>
  <si>
    <t>Lanternfish Partners  Â·  $ in millions</t>
  </si>
  <si>
    <t>Blue cells on yellow = inputs you can change.  Black = formulas.  Grey italics = notes.</t>
  </si>
  <si>
    <t>Transaction assumptions</t>
  </si>
  <si>
    <t>FY2025 EBITDA (at close)</t>
  </si>
  <si>
    <t>Entry multiple (EV / EBITDA)</t>
  </si>
  <si>
    <t>What Lanternfish pays for each dollar of EBITDA.</t>
  </si>
  <si>
    <t>Purchase enterprise value</t>
  </si>
  <si>
    <t>Transaction fees (% of EV)</t>
  </si>
  <si>
    <t>Bankers, lawyers, accountants and financing fees.</t>
  </si>
  <si>
    <t>Transaction fees</t>
  </si>
  <si>
    <t>Senior term loan (x EBITDA)</t>
  </si>
  <si>
    <t>Subordinated notes (x EBITDA)</t>
  </si>
  <si>
    <t>Total leverage of 4.5x EBITDA.</t>
  </si>
  <si>
    <t>Term loan interest rate</t>
  </si>
  <si>
    <t>Subordinated notes interest rate</t>
  </si>
  <si>
    <t>Higher rate because the notes are repaid after the term loan.</t>
  </si>
  <si>
    <t>Mandatory amortization (% of original term loan)</t>
  </si>
  <si>
    <t>Cash sweep (% of excess cash)</t>
  </si>
  <si>
    <t>Every spare dollar repays the term loan early.</t>
  </si>
  <si>
    <t>Exit multiple (EV / EBITDA)</t>
  </si>
  <si>
    <t>Assume Lanternfish sells at the same multiple it paid (no multiple expansion).</t>
  </si>
  <si>
    <t>Tax rate</t>
  </si>
  <si>
    <t>Sources</t>
  </si>
  <si>
    <t>$m</t>
  </si>
  <si>
    <t>% of total</t>
  </si>
  <si>
    <t>Senior term loan</t>
  </si>
  <si>
    <t>Subordinated notes</t>
  </si>
  <si>
    <t>Sponsor equity (Lanternfish)</t>
  </si>
  <si>
    <t>The plug: whatever the debt doesn't cover, the sponsor pays in equity.</t>
  </si>
  <si>
    <t>Total sources</t>
  </si>
  <si>
    <t>Uses</t>
  </si>
  <si>
    <t>Purchase enterprise value (paid to Ray)</t>
  </si>
  <si>
    <t>Total uses</t>
  </si>
  <si>
    <t>Sources must equal uses.</t>
  </si>
  <si>
    <t>Operating model</t>
  </si>
  <si>
    <t>FY2025A</t>
  </si>
  <si>
    <t>FY2026E</t>
  </si>
  <si>
    <t>FY2027E</t>
  </si>
  <si>
    <t>FY2028E</t>
  </si>
  <si>
    <t>FY2029E</t>
  </si>
  <si>
    <t>FY2030E</t>
  </si>
  <si>
    <t>Revenue</t>
  </si>
  <si>
    <t xml:space="preserve">   Revenue growth</t>
  </si>
  <si>
    <t>More maintenance-plan customers plus price increases.</t>
  </si>
  <si>
    <t xml:space="preserve">   EBITDA margin</t>
  </si>
  <si>
    <t>Better scheduling means fewer wasted truck rolls.</t>
  </si>
  <si>
    <t>EBITDA</t>
  </si>
  <si>
    <t xml:space="preserve">   D&amp;A (% of revenue)</t>
  </si>
  <si>
    <t>Depreciation and amortization</t>
  </si>
  <si>
    <t xml:space="preserve">   Capex (% of revenue)</t>
  </si>
  <si>
    <t>Mostly replacing service vans and tools.</t>
  </si>
  <si>
    <t>Capital expenditures</t>
  </si>
  <si>
    <t xml:space="preserve">   Net working capital (% of revenue)</t>
  </si>
  <si>
    <t>Increase in net working capital</t>
  </si>
  <si>
    <t>Growing revenue ties up more cash in receivables and parts inventory.</t>
  </si>
  <si>
    <t>Free cash flow</t>
  </si>
  <si>
    <t>Less: interest</t>
  </si>
  <si>
    <t>Less: taxes</t>
  </si>
  <si>
    <t>Tax on EBITDA less D&amp;A less interest. Interest is tax-deductible, one reason sponsors use debt.</t>
  </si>
  <si>
    <t>Less: capex</t>
  </si>
  <si>
    <t>Less: increase in net working capital</t>
  </si>
  <si>
    <t>Free cash flow available to repay debt</t>
  </si>
  <si>
    <t>Debt schedule</t>
  </si>
  <si>
    <t>Senior term loan: opening</t>
  </si>
  <si>
    <t xml:space="preserve">   Interest</t>
  </si>
  <si>
    <t xml:space="preserve">   Mandatory amortization</t>
  </si>
  <si>
    <t xml:space="preserve">   Optional prepayment (cash sweep)</t>
  </si>
  <si>
    <t>Free cash flow left after mandatory payments, up to the remaining balance.</t>
  </si>
  <si>
    <t>Senior term loan: closing</t>
  </si>
  <si>
    <t>Subordinated notes: opening</t>
  </si>
  <si>
    <t>Subordinated notes: closing</t>
  </si>
  <si>
    <t>Repaid in full at exit ("bullet"), so the balance stays flat.</t>
  </si>
  <si>
    <t>Cash</t>
  </si>
  <si>
    <t>Opening cash</t>
  </si>
  <si>
    <t>Free cash flow after debt payments</t>
  </si>
  <si>
    <t>Closing cash</t>
  </si>
  <si>
    <t>Bought cash-free, debt-free. Cash builds only once the term loan is fully repaid.</t>
  </si>
  <si>
    <t>Total debt</t>
  </si>
  <si>
    <t>Net debt</t>
  </si>
  <si>
    <t xml:space="preserve">   Net debt / EBITDA</t>
  </si>
  <si>
    <t>Leverage falls each year as debt is repaid and EBITDA grows.</t>
  </si>
  <si>
    <t>Exit and returns (end of FY2030)</t>
  </si>
  <si>
    <t>FY2030 EBITDA</t>
  </si>
  <si>
    <t>Exit multiple</t>
  </si>
  <si>
    <t>Exit enterprise value</t>
  </si>
  <si>
    <t>Less: net debt at exit</t>
  </si>
  <si>
    <t>Exit equity value</t>
  </si>
  <si>
    <t>Sponsor equity invested</t>
  </si>
  <si>
    <t>MOIC (multiple of invested capital)</t>
  </si>
  <si>
    <t>IRR (from MOIC: MOIC ^ (1/5) - 1)</t>
  </si>
  <si>
    <t>Works when there's one investment and one exit, with nothing paid out in between.</t>
  </si>
  <si>
    <t>Sponsor cash flows</t>
  </si>
  <si>
    <t>Equity invested (-) and returned (+)</t>
  </si>
  <si>
    <t>IRR (using =IRR)</t>
  </si>
  <si>
    <t>Should match the IRR above. Use =IRR when there are dividends or more than one cash flow.</t>
  </si>
  <si>
    <t>Value creation bridge</t>
  </si>
  <si>
    <t>% of gain</t>
  </si>
  <si>
    <t>EBITDA growth (at entry multiple)</t>
  </si>
  <si>
    <t>Multiple expansion</t>
  </si>
  <si>
    <t>Debt paydown and cash build</t>
  </si>
  <si>
    <t>Less: transaction fees</t>
  </si>
  <si>
    <t>Sponsor's gain (exit equity - equity invested)</t>
  </si>
  <si>
    <t>Check (should be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</si>
</sst>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(#,##0.0\);&quot;â€“&quot;"/>
    <numFmt numFmtId="165" formatCode="0.0&quot;x&quot;"/>
    <numFmt numFmtId="166" formatCode="0.0%;\(0.0%\);&quot;â€“&quot;"/>
  </numFmts>
  <fonts count="12" x14ac:knownFonts="1">
    <font>
      <sz val="10"/>
      <color theme="1"/>
      <name val="Arial"/>
      <family val="2"/>
    </font>
    <font>
      <b/>
      <sz val="18"/>
      <color rgb="FF0F362A"/>
      <name val="Arial"/>
      <family val="2"/>
    </font>
    <font>
      <sz val="11"/>
      <color rgb="FF6B6F6D"/>
      <name val="Arial"/>
      <family val="2"/>
    </font>
    <font>
      <b/>
      <sz val="10"/>
      <color theme="1"/>
      <name val="Arial"/>
      <family val="2"/>
    </font>
    <font>
      <b/>
      <sz val="12"/>
      <color rgb="FF157659"/>
      <name val="Arial"/>
      <family val="2"/>
    </font>
    <font>
      <i/>
      <sz val="10"/>
      <color rgb="FF6B6F6D"/>
      <name val="Arial"/>
      <family val="2"/>
    </font>
    <font>
      <u/>
      <sz val="10"/>
      <color theme="10"/>
      <name val="Arial"/>
      <family val="2"/>
    </font>
    <font>
      <i/>
      <u/>
      <sz val="10"/>
      <color rgb="FF6B6F6D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1576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F362A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5F0E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F362A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7" fillId="0" borderId="0" xfId="1" applyFont="1"/>
    <xf numFmtId="0" fontId="8" fillId="2" borderId="0" xfId="0" applyFont="1" applyFill="1"/>
    <xf numFmtId="164" fontId="0" fillId="0" borderId="0" xfId="0" applyNumberFormat="1" applyAlignment="1">
      <alignment horizontal="right"/>
    </xf>
    <xf numFmtId="165" fontId="9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166" fontId="0" fillId="0" borderId="0" xfId="0" applyNumberForma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0" fontId="3" fillId="4" borderId="1" xfId="0" applyFont="1" applyFill="1" applyBorder="1"/>
    <xf numFmtId="0" fontId="0" fillId="4" borderId="0" xfId="0" applyFill="1"/>
    <xf numFmtId="164" fontId="3" fillId="4" borderId="1" xfId="0" applyNumberFormat="1" applyFont="1" applyFill="1" applyBorder="1" applyAlignment="1">
      <alignment horizontal="right"/>
    </xf>
    <xf numFmtId="165" fontId="0" fillId="0" borderId="0" xfId="0" applyNumberFormat="1" applyAlignment="1">
      <alignment horizontal="right"/>
    </xf>
    <xf numFmtId="0" fontId="3" fillId="4" borderId="0" xfId="0" applyFont="1" applyFill="1"/>
    <xf numFmtId="165" fontId="3" fillId="4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11" fillId="0" borderId="0" xfId="0" applyFont="1"/>
    <xf numFmtId="164" fontId="1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cialmodelingcourse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64C4-7E0E-4781-97F3-6BA973244D6F}">
  <dimension ref="B2:B35"/>
  <sheetViews>
    <sheetView showGridLines="0" tabSelected="1" zoomScaleNormal="100" workbookViewId="0"/>
  </sheetViews>
  <sheetFormatPr defaultRowHeight="13.2" x14ac:dyDescent="0.25"/>
  <cols>
    <col min="1" max="1" width="3.77734375" customWidth="1"/>
    <col min="2" max="2" width="100.77734375" customWidth="1"/>
  </cols>
  <sheetData>
    <row r="2" spans="2:2" ht="22.8" x14ac:dyDescent="0.4">
      <c r="B2" s="1" t="s">
        <v>0</v>
      </c>
    </row>
    <row r="3" spans="2:2" ht="13.8" x14ac:dyDescent="0.25">
      <c r="B3" s="2" t="s">
        <v>1</v>
      </c>
    </row>
    <row r="5" spans="2:2" ht="15.6" x14ac:dyDescent="0.3">
      <c r="B5" s="4" t="s">
        <v>2</v>
      </c>
    </row>
    <row r="6" spans="2:2" ht="58.05" customHeight="1" x14ac:dyDescent="0.25">
      <c r="B6" s="5" t="s">
        <v>3</v>
      </c>
    </row>
    <row r="7" spans="2:2" ht="58.05" customHeight="1" x14ac:dyDescent="0.25">
      <c r="B7" s="5" t="s">
        <v>4</v>
      </c>
    </row>
    <row r="8" spans="2:2" ht="30" customHeight="1" x14ac:dyDescent="0.25">
      <c r="B8" s="5" t="s">
        <v>5</v>
      </c>
    </row>
    <row r="10" spans="2:2" ht="15.6" x14ac:dyDescent="0.3">
      <c r="B10" s="4" t="s">
        <v>6</v>
      </c>
    </row>
    <row r="11" spans="2:2" ht="43.95" customHeight="1" x14ac:dyDescent="0.25">
      <c r="B11" s="5" t="s">
        <v>7</v>
      </c>
    </row>
    <row r="13" spans="2:2" ht="15.6" x14ac:dyDescent="0.3">
      <c r="B13" s="4" t="s">
        <v>8</v>
      </c>
    </row>
    <row r="14" spans="2:2" ht="16.05" customHeight="1" x14ac:dyDescent="0.25">
      <c r="B14" s="5" t="s">
        <v>9</v>
      </c>
    </row>
    <row r="15" spans="2:2" ht="16.05" customHeight="1" x14ac:dyDescent="0.25">
      <c r="B15" s="5" t="s">
        <v>10</v>
      </c>
    </row>
    <row r="16" spans="2:2" ht="16.05" customHeight="1" x14ac:dyDescent="0.25">
      <c r="B16" s="5" t="s">
        <v>11</v>
      </c>
    </row>
    <row r="17" spans="2:2" ht="16.05" customHeight="1" x14ac:dyDescent="0.25">
      <c r="B17" s="5" t="s">
        <v>12</v>
      </c>
    </row>
    <row r="18" spans="2:2" ht="30" customHeight="1" x14ac:dyDescent="0.25">
      <c r="B18" s="5" t="s">
        <v>13</v>
      </c>
    </row>
    <row r="20" spans="2:2" ht="15.6" x14ac:dyDescent="0.3">
      <c r="B20" s="4" t="s">
        <v>14</v>
      </c>
    </row>
    <row r="21" spans="2:2" ht="58.05" customHeight="1" x14ac:dyDescent="0.25">
      <c r="B21" s="5" t="s">
        <v>15</v>
      </c>
    </row>
    <row r="23" spans="2:2" ht="15.6" x14ac:dyDescent="0.3">
      <c r="B23" s="4" t="s">
        <v>16</v>
      </c>
    </row>
    <row r="24" spans="2:2" ht="30" customHeight="1" x14ac:dyDescent="0.25">
      <c r="B24" s="5" t="s">
        <v>17</v>
      </c>
    </row>
    <row r="25" spans="2:2" ht="30" customHeight="1" x14ac:dyDescent="0.25">
      <c r="B25" s="5" t="s">
        <v>18</v>
      </c>
    </row>
    <row r="26" spans="2:2" ht="30" customHeight="1" x14ac:dyDescent="0.25">
      <c r="B26" s="5" t="s">
        <v>19</v>
      </c>
    </row>
    <row r="27" spans="2:2" ht="30" customHeight="1" x14ac:dyDescent="0.25">
      <c r="B27" s="5" t="s">
        <v>20</v>
      </c>
    </row>
    <row r="28" spans="2:2" ht="30" customHeight="1" x14ac:dyDescent="0.25">
      <c r="B28" s="5" t="s">
        <v>21</v>
      </c>
    </row>
    <row r="30" spans="2:2" ht="15.6" x14ac:dyDescent="0.3">
      <c r="B30" s="4" t="s">
        <v>22</v>
      </c>
    </row>
    <row r="31" spans="2:2" ht="43.95" customHeight="1" x14ac:dyDescent="0.25">
      <c r="B31" s="5" t="s">
        <v>23</v>
      </c>
    </row>
    <row r="33" spans="2:2" ht="30" customHeight="1" x14ac:dyDescent="0.25">
      <c r="B33" s="5" t="s">
        <v>24</v>
      </c>
    </row>
    <row r="35" spans="2:2" x14ac:dyDescent="0.25">
      <c r="B35" s="7" t="s">
        <v>25</v>
      </c>
    </row>
  </sheetData>
  <hyperlinks>
    <hyperlink ref="B35" r:id="rId1" tooltip="Open LBO Reps" xr:uid="{175855D5-7539-40AA-9250-3A88CBC553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DB88-D533-4E55-A0AD-80EFD8AA5261}">
  <dimension ref="B1:J91"/>
  <sheetViews>
    <sheetView showGridLines="0" zoomScaleNormal="100" workbookViewId="0">
      <pane xSplit="2" ySplit="3" topLeftCell="C4" activePane="bottomRight" state="frozenSplit"/>
      <selection pane="bottomLeft" activeCell="A4" sqref="A4"/>
      <selection pane="topRight" activeCell="C1" sqref="C1"/>
      <selection pane="bottomRight" activeCell="C7" sqref="C7"/>
    </sheetView>
  </sheetViews>
  <sheetFormatPr defaultRowHeight="13.2" x14ac:dyDescent="0.25"/>
  <cols>
    <col min="1" max="1" width="2.77734375" customWidth="1"/>
    <col min="2" max="2" width="44.77734375" customWidth="1"/>
    <col min="3" max="8" width="12.77734375" customWidth="1"/>
    <col min="9" max="9" width="2.77734375" customWidth="1"/>
    <col min="10" max="10" width="64.77734375" customWidth="1"/>
  </cols>
  <sheetData>
    <row r="1" spans="2:10" ht="22.8" x14ac:dyDescent="0.4">
      <c r="B1" s="1" t="s">
        <v>26</v>
      </c>
    </row>
    <row r="2" spans="2:10" ht="13.8" x14ac:dyDescent="0.25">
      <c r="B2" s="2" t="s">
        <v>27</v>
      </c>
    </row>
    <row r="3" spans="2:10" x14ac:dyDescent="0.25">
      <c r="B3" s="6" t="s">
        <v>28</v>
      </c>
    </row>
    <row r="5" spans="2:10" x14ac:dyDescent="0.25">
      <c r="B5" s="8" t="s">
        <v>29</v>
      </c>
      <c r="C5" s="8"/>
      <c r="D5" s="8"/>
    </row>
    <row r="6" spans="2:10" x14ac:dyDescent="0.25">
      <c r="B6" t="s">
        <v>30</v>
      </c>
      <c r="C6" s="9">
        <f>C35</f>
        <v>12</v>
      </c>
    </row>
    <row r="7" spans="2:10" x14ac:dyDescent="0.25">
      <c r="B7" t="s">
        <v>31</v>
      </c>
      <c r="C7" s="10">
        <v>7.5</v>
      </c>
      <c r="J7" s="6" t="s">
        <v>32</v>
      </c>
    </row>
    <row r="8" spans="2:10" x14ac:dyDescent="0.25">
      <c r="B8" t="s">
        <v>33</v>
      </c>
      <c r="C8" s="11">
        <f>C6*C7</f>
        <v>90</v>
      </c>
    </row>
    <row r="9" spans="2:10" x14ac:dyDescent="0.25">
      <c r="B9" t="s">
        <v>34</v>
      </c>
      <c r="C9" s="12">
        <v>0.02</v>
      </c>
      <c r="J9" s="6" t="s">
        <v>35</v>
      </c>
    </row>
    <row r="10" spans="2:10" x14ac:dyDescent="0.25">
      <c r="B10" t="s">
        <v>36</v>
      </c>
      <c r="C10" s="9">
        <f>C8*C9</f>
        <v>1.8</v>
      </c>
    </row>
    <row r="11" spans="2:10" x14ac:dyDescent="0.25">
      <c r="B11" t="s">
        <v>37</v>
      </c>
      <c r="C11" s="10">
        <v>3.5</v>
      </c>
    </row>
    <row r="12" spans="2:10" x14ac:dyDescent="0.25">
      <c r="B12" t="s">
        <v>38</v>
      </c>
      <c r="C12" s="10">
        <v>1</v>
      </c>
      <c r="J12" s="6" t="s">
        <v>39</v>
      </c>
    </row>
    <row r="13" spans="2:10" x14ac:dyDescent="0.25">
      <c r="B13" t="s">
        <v>40</v>
      </c>
      <c r="C13" s="12">
        <v>8.5000000000000006E-2</v>
      </c>
    </row>
    <row r="14" spans="2:10" x14ac:dyDescent="0.25">
      <c r="B14" t="s">
        <v>41</v>
      </c>
      <c r="C14" s="12">
        <v>0.11</v>
      </c>
      <c r="J14" s="6" t="s">
        <v>42</v>
      </c>
    </row>
    <row r="15" spans="2:10" x14ac:dyDescent="0.25">
      <c r="B15" t="s">
        <v>43</v>
      </c>
      <c r="C15" s="12">
        <v>0.05</v>
      </c>
    </row>
    <row r="16" spans="2:10" x14ac:dyDescent="0.25">
      <c r="B16" t="s">
        <v>44</v>
      </c>
      <c r="C16" s="12">
        <v>1</v>
      </c>
      <c r="J16" s="6" t="s">
        <v>45</v>
      </c>
    </row>
    <row r="17" spans="2:10" x14ac:dyDescent="0.25">
      <c r="B17" t="s">
        <v>46</v>
      </c>
      <c r="C17" s="10">
        <v>7.5</v>
      </c>
      <c r="J17" s="6" t="s">
        <v>47</v>
      </c>
    </row>
    <row r="18" spans="2:10" x14ac:dyDescent="0.25">
      <c r="B18" t="s">
        <v>48</v>
      </c>
      <c r="C18" s="12">
        <v>0.25</v>
      </c>
    </row>
    <row r="20" spans="2:10" x14ac:dyDescent="0.25">
      <c r="B20" s="8" t="s">
        <v>49</v>
      </c>
      <c r="C20" s="13" t="s">
        <v>50</v>
      </c>
      <c r="D20" s="13" t="s">
        <v>51</v>
      </c>
    </row>
    <row r="21" spans="2:10" x14ac:dyDescent="0.25">
      <c r="B21" t="s">
        <v>52</v>
      </c>
      <c r="C21" s="9">
        <f>C6*C11</f>
        <v>42</v>
      </c>
      <c r="D21" s="14">
        <f>C21/C$24</f>
        <v>0.45751633986928109</v>
      </c>
    </row>
    <row r="22" spans="2:10" x14ac:dyDescent="0.25">
      <c r="B22" t="s">
        <v>53</v>
      </c>
      <c r="C22" s="9">
        <f>C6*C12</f>
        <v>12</v>
      </c>
      <c r="D22" s="14">
        <f>C22/C$24</f>
        <v>0.13071895424836602</v>
      </c>
    </row>
    <row r="23" spans="2:10" x14ac:dyDescent="0.25">
      <c r="B23" t="s">
        <v>54</v>
      </c>
      <c r="C23" s="9">
        <f>C29-C21-C22</f>
        <v>37.799999999999997</v>
      </c>
      <c r="D23" s="14">
        <f>C23/C$24</f>
        <v>0.41176470588235292</v>
      </c>
      <c r="J23" s="6" t="s">
        <v>55</v>
      </c>
    </row>
    <row r="24" spans="2:10" x14ac:dyDescent="0.25">
      <c r="B24" s="15" t="s">
        <v>56</v>
      </c>
      <c r="C24" s="16">
        <f>SUM(C21:C23)</f>
        <v>91.8</v>
      </c>
      <c r="D24" s="18">
        <f>SUM(D21:D23)</f>
        <v>1</v>
      </c>
    </row>
    <row r="26" spans="2:10" x14ac:dyDescent="0.25">
      <c r="B26" s="8" t="s">
        <v>57</v>
      </c>
      <c r="C26" s="13" t="s">
        <v>50</v>
      </c>
      <c r="D26" s="13" t="s">
        <v>51</v>
      </c>
    </row>
    <row r="27" spans="2:10" x14ac:dyDescent="0.25">
      <c r="B27" t="s">
        <v>58</v>
      </c>
      <c r="C27" s="9">
        <f>C8</f>
        <v>90</v>
      </c>
      <c r="D27" s="14">
        <f>C27/C$29</f>
        <v>0.98039215686274517</v>
      </c>
    </row>
    <row r="28" spans="2:10" x14ac:dyDescent="0.25">
      <c r="B28" t="s">
        <v>36</v>
      </c>
      <c r="C28" s="9">
        <f>C10</f>
        <v>1.8</v>
      </c>
      <c r="D28" s="14">
        <f>C28/C$29</f>
        <v>1.9607843137254902E-2</v>
      </c>
    </row>
    <row r="29" spans="2:10" x14ac:dyDescent="0.25">
      <c r="B29" s="15" t="s">
        <v>59</v>
      </c>
      <c r="C29" s="16">
        <f>C27+C28</f>
        <v>91.8</v>
      </c>
      <c r="D29" s="18">
        <f>SUM(D27:D28)</f>
        <v>1</v>
      </c>
      <c r="J29" s="6" t="s">
        <v>60</v>
      </c>
    </row>
    <row r="31" spans="2:10" x14ac:dyDescent="0.25">
      <c r="B31" s="8" t="s">
        <v>61</v>
      </c>
      <c r="C31" s="13" t="s">
        <v>62</v>
      </c>
      <c r="D31" s="13" t="s">
        <v>63</v>
      </c>
      <c r="E31" s="13" t="s">
        <v>64</v>
      </c>
      <c r="F31" s="13" t="s">
        <v>65</v>
      </c>
      <c r="G31" s="13" t="s">
        <v>66</v>
      </c>
      <c r="H31" s="13" t="s">
        <v>67</v>
      </c>
    </row>
    <row r="32" spans="2:10" x14ac:dyDescent="0.25">
      <c r="B32" s="3" t="s">
        <v>68</v>
      </c>
      <c r="C32" s="20">
        <v>80</v>
      </c>
      <c r="D32" s="11">
        <f>C32*(1+D33)</f>
        <v>85.600000000000009</v>
      </c>
      <c r="E32" s="11">
        <f>D32*(1+E33)</f>
        <v>91.592000000000013</v>
      </c>
      <c r="F32" s="11">
        <f>E32*(1+F33)</f>
        <v>97.087520000000012</v>
      </c>
      <c r="G32" s="11">
        <f>F32*(1+G33)</f>
        <v>102.91277120000002</v>
      </c>
      <c r="H32" s="11">
        <f>G32*(1+H33)</f>
        <v>108.05840976000003</v>
      </c>
    </row>
    <row r="33" spans="2:10" x14ac:dyDescent="0.25">
      <c r="B33" t="s">
        <v>69</v>
      </c>
      <c r="D33" s="12">
        <v>7.0000000000000007E-2</v>
      </c>
      <c r="E33" s="12">
        <v>7.0000000000000007E-2</v>
      </c>
      <c r="F33" s="12">
        <v>0.06</v>
      </c>
      <c r="G33" s="12">
        <v>0.06</v>
      </c>
      <c r="H33" s="12">
        <v>0.05</v>
      </c>
      <c r="J33" s="6" t="s">
        <v>70</v>
      </c>
    </row>
    <row r="34" spans="2:10" x14ac:dyDescent="0.25">
      <c r="B34" t="s">
        <v>71</v>
      </c>
      <c r="C34" s="12">
        <v>0.15</v>
      </c>
      <c r="D34" s="12">
        <v>0.155</v>
      </c>
      <c r="E34" s="12">
        <v>0.16</v>
      </c>
      <c r="F34" s="12">
        <v>0.16500000000000001</v>
      </c>
      <c r="G34" s="12">
        <v>0.17</v>
      </c>
      <c r="H34" s="12">
        <v>0.17499999999999999</v>
      </c>
      <c r="J34" s="6" t="s">
        <v>72</v>
      </c>
    </row>
    <row r="35" spans="2:10" x14ac:dyDescent="0.25">
      <c r="B35" s="15" t="s">
        <v>73</v>
      </c>
      <c r="C35" s="16">
        <f>C32*C34</f>
        <v>12</v>
      </c>
      <c r="D35" s="16">
        <f>D32*D34</f>
        <v>13.268000000000001</v>
      </c>
      <c r="E35" s="16">
        <f>E32*E34</f>
        <v>14.654720000000003</v>
      </c>
      <c r="F35" s="16">
        <f>F32*F34</f>
        <v>16.019440800000002</v>
      </c>
      <c r="G35" s="16">
        <f>G32*G34</f>
        <v>17.495171104000004</v>
      </c>
      <c r="H35" s="16">
        <f>H32*H34</f>
        <v>18.910221708000005</v>
      </c>
    </row>
    <row r="36" spans="2:10" x14ac:dyDescent="0.25">
      <c r="B36" t="s">
        <v>74</v>
      </c>
      <c r="C36" s="12">
        <v>0.02</v>
      </c>
      <c r="D36" s="12">
        <v>0.02</v>
      </c>
      <c r="E36" s="12">
        <v>0.02</v>
      </c>
      <c r="F36" s="12">
        <v>0.02</v>
      </c>
      <c r="G36" s="12">
        <v>0.02</v>
      </c>
      <c r="H36" s="12">
        <v>0.02</v>
      </c>
    </row>
    <row r="37" spans="2:10" x14ac:dyDescent="0.25">
      <c r="B37" t="s">
        <v>75</v>
      </c>
      <c r="C37" s="9">
        <f>C32*C36</f>
        <v>1.6</v>
      </c>
      <c r="D37" s="9">
        <f>D32*D36</f>
        <v>1.7120000000000002</v>
      </c>
      <c r="E37" s="9">
        <f>E32*E36</f>
        <v>1.8318400000000004</v>
      </c>
      <c r="F37" s="9">
        <f>F32*F36</f>
        <v>1.9417504000000003</v>
      </c>
      <c r="G37" s="9">
        <f>G32*G36</f>
        <v>2.0582554240000004</v>
      </c>
      <c r="H37" s="9">
        <f>H32*H36</f>
        <v>2.1611681952000006</v>
      </c>
    </row>
    <row r="38" spans="2:10" x14ac:dyDescent="0.25">
      <c r="B38" t="s">
        <v>76</v>
      </c>
      <c r="C38" s="12">
        <v>2.5000000000000001E-2</v>
      </c>
      <c r="D38" s="12">
        <v>2.5000000000000001E-2</v>
      </c>
      <c r="E38" s="12">
        <v>2.5000000000000001E-2</v>
      </c>
      <c r="F38" s="12">
        <v>2.5000000000000001E-2</v>
      </c>
      <c r="G38" s="12">
        <v>2.5000000000000001E-2</v>
      </c>
      <c r="H38" s="12">
        <v>2.5000000000000001E-2</v>
      </c>
      <c r="J38" s="6" t="s">
        <v>77</v>
      </c>
    </row>
    <row r="39" spans="2:10" x14ac:dyDescent="0.25">
      <c r="B39" t="s">
        <v>78</v>
      </c>
      <c r="C39" s="9">
        <f>C32*C38</f>
        <v>2</v>
      </c>
      <c r="D39" s="9">
        <f>D32*D38</f>
        <v>2.14</v>
      </c>
      <c r="E39" s="9">
        <f>E32*E38</f>
        <v>2.2898000000000005</v>
      </c>
      <c r="F39" s="9">
        <f>F32*F38</f>
        <v>2.4271880000000006</v>
      </c>
      <c r="G39" s="9">
        <f>G32*G38</f>
        <v>2.5728192800000009</v>
      </c>
      <c r="H39" s="9">
        <f>H32*H38</f>
        <v>2.7014602440000011</v>
      </c>
    </row>
    <row r="40" spans="2:10" x14ac:dyDescent="0.25">
      <c r="B40" t="s">
        <v>79</v>
      </c>
      <c r="C40" s="12">
        <v>0.1</v>
      </c>
      <c r="D40" s="12">
        <v>0.1</v>
      </c>
      <c r="E40" s="12">
        <v>0.1</v>
      </c>
      <c r="F40" s="12">
        <v>0.1</v>
      </c>
      <c r="G40" s="12">
        <v>0.1</v>
      </c>
      <c r="H40" s="12">
        <v>0.1</v>
      </c>
    </row>
    <row r="41" spans="2:10" x14ac:dyDescent="0.25">
      <c r="B41" t="s">
        <v>80</v>
      </c>
      <c r="D41" s="9">
        <f>(D32-C32)*D40</f>
        <v>0.56000000000000083</v>
      </c>
      <c r="E41" s="9">
        <f>(E32-D32)*E40</f>
        <v>0.59920000000000051</v>
      </c>
      <c r="F41" s="9">
        <f>(F32-E32)*F40</f>
        <v>0.54955199999999993</v>
      </c>
      <c r="G41" s="9">
        <f>(G32-F32)*G40</f>
        <v>0.58252512000000112</v>
      </c>
      <c r="H41" s="9">
        <f>(H32-G32)*H40</f>
        <v>0.51456385600000087</v>
      </c>
      <c r="J41" s="6" t="s">
        <v>81</v>
      </c>
    </row>
    <row r="43" spans="2:10" x14ac:dyDescent="0.25">
      <c r="B43" s="8" t="s">
        <v>82</v>
      </c>
      <c r="C43" s="13" t="s">
        <v>62</v>
      </c>
      <c r="D43" s="13" t="s">
        <v>63</v>
      </c>
      <c r="E43" s="13" t="s">
        <v>64</v>
      </c>
      <c r="F43" s="13" t="s">
        <v>65</v>
      </c>
      <c r="G43" s="13" t="s">
        <v>66</v>
      </c>
      <c r="H43" s="13" t="s">
        <v>67</v>
      </c>
    </row>
    <row r="44" spans="2:10" x14ac:dyDescent="0.25">
      <c r="B44" t="s">
        <v>73</v>
      </c>
      <c r="D44" s="9">
        <f>D35</f>
        <v>13.268000000000001</v>
      </c>
      <c r="E44" s="9">
        <f>E35</f>
        <v>14.654720000000003</v>
      </c>
      <c r="F44" s="9">
        <f>F35</f>
        <v>16.019440800000002</v>
      </c>
      <c r="G44" s="9">
        <f>G35</f>
        <v>17.495171104000004</v>
      </c>
      <c r="H44" s="9">
        <f>H35</f>
        <v>18.910221708000005</v>
      </c>
    </row>
    <row r="45" spans="2:10" x14ac:dyDescent="0.25">
      <c r="B45" t="s">
        <v>83</v>
      </c>
      <c r="D45" s="9">
        <f>-(D53+D59)</f>
        <v>-4.8900000000000006</v>
      </c>
      <c r="E45" s="9">
        <f>-(E53+E59)</f>
        <v>-4.5490225000000004</v>
      </c>
      <c r="F45" s="9">
        <f>-(F53+F59)</f>
        <v>-4.1114226843750004</v>
      </c>
      <c r="G45" s="9">
        <f>-(G53+G59)</f>
        <v>-3.5640472335039064</v>
      </c>
      <c r="H45" s="9">
        <f>-(H53+H59)</f>
        <v>-2.9004044329997805</v>
      </c>
    </row>
    <row r="46" spans="2:10" x14ac:dyDescent="0.25">
      <c r="B46" t="s">
        <v>84</v>
      </c>
      <c r="D46" s="9">
        <f>-MAX(0,(D35-D37-D53-D59)*$C$18)</f>
        <v>-1.6665000000000001</v>
      </c>
      <c r="E46" s="9">
        <f>-MAX(0,(E35-E37-E53-E59)*$C$18)</f>
        <v>-2.0684643750000005</v>
      </c>
      <c r="F46" s="9">
        <f>-MAX(0,(F35-F37-F53-F59)*$C$18)</f>
        <v>-2.4915669289062503</v>
      </c>
      <c r="G46" s="9">
        <f>-MAX(0,(G35-G37-G53-G59)*$C$18)</f>
        <v>-2.9682171116240244</v>
      </c>
      <c r="H46" s="9">
        <f>-MAX(0,(H35-H37-H53-H59)*$C$18)</f>
        <v>-3.4621622699500558</v>
      </c>
      <c r="J46" s="6" t="s">
        <v>85</v>
      </c>
    </row>
    <row r="47" spans="2:10" x14ac:dyDescent="0.25">
      <c r="B47" t="s">
        <v>86</v>
      </c>
      <c r="D47" s="9">
        <f>-D39</f>
        <v>-2.14</v>
      </c>
      <c r="E47" s="9">
        <f>-E39</f>
        <v>-2.2898000000000005</v>
      </c>
      <c r="F47" s="9">
        <f>-F39</f>
        <v>-2.4271880000000006</v>
      </c>
      <c r="G47" s="9">
        <f>-G39</f>
        <v>-2.5728192800000009</v>
      </c>
      <c r="H47" s="9">
        <f>-H39</f>
        <v>-2.7014602440000011</v>
      </c>
    </row>
    <row r="48" spans="2:10" x14ac:dyDescent="0.25">
      <c r="B48" t="s">
        <v>87</v>
      </c>
      <c r="D48" s="9">
        <f>-D41</f>
        <v>-0.56000000000000083</v>
      </c>
      <c r="E48" s="9">
        <f>-E41</f>
        <v>-0.59920000000000051</v>
      </c>
      <c r="F48" s="9">
        <f>-F41</f>
        <v>-0.54955199999999993</v>
      </c>
      <c r="G48" s="9">
        <f>-G41</f>
        <v>-0.58252512000000112</v>
      </c>
      <c r="H48" s="9">
        <f>-H41</f>
        <v>-0.51456385600000087</v>
      </c>
    </row>
    <row r="49" spans="2:10" x14ac:dyDescent="0.25">
      <c r="B49" s="21" t="s">
        <v>88</v>
      </c>
      <c r="C49" s="22"/>
      <c r="D49" s="23">
        <f>SUM(D44:D48)</f>
        <v>4.0114999999999998</v>
      </c>
      <c r="E49" s="23">
        <f>SUM(E44:E48)</f>
        <v>5.1482331249999991</v>
      </c>
      <c r="F49" s="23">
        <f>SUM(F44:F48)</f>
        <v>6.4397111867187498</v>
      </c>
      <c r="G49" s="23">
        <f>SUM(G44:G48)</f>
        <v>7.8075623588720706</v>
      </c>
      <c r="H49" s="23">
        <f>SUM(H44:H48)</f>
        <v>9.3316309050501651</v>
      </c>
    </row>
    <row r="51" spans="2:10" x14ac:dyDescent="0.25">
      <c r="B51" s="8" t="s">
        <v>89</v>
      </c>
      <c r="C51" s="13" t="s">
        <v>62</v>
      </c>
      <c r="D51" s="13" t="s">
        <v>63</v>
      </c>
      <c r="E51" s="13" t="s">
        <v>64</v>
      </c>
      <c r="F51" s="13" t="s">
        <v>65</v>
      </c>
      <c r="G51" s="13" t="s">
        <v>66</v>
      </c>
      <c r="H51" s="13" t="s">
        <v>67</v>
      </c>
    </row>
    <row r="52" spans="2:10" x14ac:dyDescent="0.25">
      <c r="B52" t="s">
        <v>90</v>
      </c>
      <c r="D52" s="9">
        <f>C56</f>
        <v>42</v>
      </c>
      <c r="E52" s="9">
        <f>D56</f>
        <v>37.988500000000002</v>
      </c>
      <c r="F52" s="9">
        <f>E56</f>
        <v>32.840266875000005</v>
      </c>
      <c r="G52" s="9">
        <f>F56</f>
        <v>26.400555688281251</v>
      </c>
      <c r="H52" s="9">
        <f>G56</f>
        <v>18.592993329409179</v>
      </c>
    </row>
    <row r="53" spans="2:10" x14ac:dyDescent="0.25">
      <c r="B53" t="s">
        <v>91</v>
      </c>
      <c r="D53" s="9">
        <f>D52*$C$13</f>
        <v>3.5700000000000003</v>
      </c>
      <c r="E53" s="9">
        <f>E52*$C$13</f>
        <v>3.2290225000000006</v>
      </c>
      <c r="F53" s="9">
        <f>F52*$C$13</f>
        <v>2.7914226843750005</v>
      </c>
      <c r="G53" s="9">
        <f>G52*$C$13</f>
        <v>2.2440472335039066</v>
      </c>
      <c r="H53" s="9">
        <f>H52*$C$13</f>
        <v>1.5804044329997804</v>
      </c>
    </row>
    <row r="54" spans="2:10" x14ac:dyDescent="0.25">
      <c r="B54" t="s">
        <v>92</v>
      </c>
      <c r="D54" s="9">
        <f>-MIN(D52,$C$21*$C$15)</f>
        <v>-2.1</v>
      </c>
      <c r="E54" s="9">
        <f>-MIN(E52,$C$21*$C$15)</f>
        <v>-2.1</v>
      </c>
      <c r="F54" s="9">
        <f>-MIN(F52,$C$21*$C$15)</f>
        <v>-2.1</v>
      </c>
      <c r="G54" s="9">
        <f>-MIN(G52,$C$21*$C$15)</f>
        <v>-2.1</v>
      </c>
      <c r="H54" s="9">
        <f>-MIN(H52,$C$21*$C$15)</f>
        <v>-2.1</v>
      </c>
    </row>
    <row r="55" spans="2:10" x14ac:dyDescent="0.25">
      <c r="B55" t="s">
        <v>93</v>
      </c>
      <c r="D55" s="9">
        <f>-MIN(D52+D54,MAX(0,(D49+D54+D63)*$C$16))</f>
        <v>-1.9114999999999998</v>
      </c>
      <c r="E55" s="9">
        <f>-MIN(E52+E54,MAX(0,(E49+E54+E63)*$C$16))</f>
        <v>-3.048233124999999</v>
      </c>
      <c r="F55" s="9">
        <f>-MIN(F52+F54,MAX(0,(F49+F54+F63)*$C$16))</f>
        <v>-4.3397111867187501</v>
      </c>
      <c r="G55" s="9">
        <f>-MIN(G52+G54,MAX(0,(G49+G54+G63)*$C$16))</f>
        <v>-5.707562358872071</v>
      </c>
      <c r="H55" s="9">
        <f>-MIN(H52+H54,MAX(0,(H49+H54+H63)*$C$16))</f>
        <v>-7.2316309050501655</v>
      </c>
      <c r="J55" s="6" t="s">
        <v>94</v>
      </c>
    </row>
    <row r="56" spans="2:10" x14ac:dyDescent="0.25">
      <c r="B56" s="15" t="s">
        <v>95</v>
      </c>
      <c r="C56" s="16">
        <f>C21</f>
        <v>42</v>
      </c>
      <c r="D56" s="16">
        <f>SUM(D52,D54,D55)</f>
        <v>37.988500000000002</v>
      </c>
      <c r="E56" s="16">
        <f>SUM(E52,E54,E55)</f>
        <v>32.840266875000005</v>
      </c>
      <c r="F56" s="16">
        <f>SUM(F52,F54,F55)</f>
        <v>26.400555688281251</v>
      </c>
      <c r="G56" s="16">
        <f>SUM(G52,G54,G55)</f>
        <v>18.592993329409179</v>
      </c>
      <c r="H56" s="16">
        <f>SUM(H52,H54,H55)</f>
        <v>9.261362424359012</v>
      </c>
    </row>
    <row r="58" spans="2:10" x14ac:dyDescent="0.25">
      <c r="B58" t="s">
        <v>96</v>
      </c>
      <c r="D58" s="9">
        <f>C60</f>
        <v>12</v>
      </c>
      <c r="E58" s="9">
        <f>D60</f>
        <v>12</v>
      </c>
      <c r="F58" s="9">
        <f>E60</f>
        <v>12</v>
      </c>
      <c r="G58" s="9">
        <f>F60</f>
        <v>12</v>
      </c>
      <c r="H58" s="9">
        <f>G60</f>
        <v>12</v>
      </c>
    </row>
    <row r="59" spans="2:10" x14ac:dyDescent="0.25">
      <c r="B59" t="s">
        <v>91</v>
      </c>
      <c r="D59" s="9">
        <f>D58*$C$14</f>
        <v>1.32</v>
      </c>
      <c r="E59" s="9">
        <f>E58*$C$14</f>
        <v>1.32</v>
      </c>
      <c r="F59" s="9">
        <f>F58*$C$14</f>
        <v>1.32</v>
      </c>
      <c r="G59" s="9">
        <f>G58*$C$14</f>
        <v>1.32</v>
      </c>
      <c r="H59" s="9">
        <f>H58*$C$14</f>
        <v>1.32</v>
      </c>
    </row>
    <row r="60" spans="2:10" x14ac:dyDescent="0.25">
      <c r="B60" s="15" t="s">
        <v>97</v>
      </c>
      <c r="C60" s="16">
        <f>C22</f>
        <v>12</v>
      </c>
      <c r="D60" s="16">
        <f>D58</f>
        <v>12</v>
      </c>
      <c r="E60" s="16">
        <f>E58</f>
        <v>12</v>
      </c>
      <c r="F60" s="16">
        <f>F58</f>
        <v>12</v>
      </c>
      <c r="G60" s="16">
        <f>G58</f>
        <v>12</v>
      </c>
      <c r="H60" s="16">
        <f>H58</f>
        <v>12</v>
      </c>
      <c r="J60" s="6" t="s">
        <v>98</v>
      </c>
    </row>
    <row r="62" spans="2:10" ht="15.6" x14ac:dyDescent="0.3">
      <c r="B62" s="4" t="s">
        <v>99</v>
      </c>
    </row>
    <row r="63" spans="2:10" x14ac:dyDescent="0.25">
      <c r="B63" t="s">
        <v>100</v>
      </c>
      <c r="D63" s="9">
        <f>C65</f>
        <v>0</v>
      </c>
      <c r="E63" s="9">
        <f>D65</f>
        <v>0</v>
      </c>
      <c r="F63" s="9">
        <f>E65</f>
        <v>0</v>
      </c>
      <c r="G63" s="9">
        <f>F65</f>
        <v>0</v>
      </c>
      <c r="H63" s="9">
        <f>G65</f>
        <v>0</v>
      </c>
    </row>
    <row r="64" spans="2:10" x14ac:dyDescent="0.25">
      <c r="B64" t="s">
        <v>101</v>
      </c>
      <c r="D64" s="9">
        <f>D49+D54+D55</f>
        <v>0</v>
      </c>
      <c r="E64" s="9">
        <f>E49+E54+E55</f>
        <v>0</v>
      </c>
      <c r="F64" s="9">
        <f>F49+F54+F55</f>
        <v>0</v>
      </c>
      <c r="G64" s="9">
        <f>G49+G54+G55</f>
        <v>0</v>
      </c>
      <c r="H64" s="9">
        <f>H49+H54+H55</f>
        <v>0</v>
      </c>
    </row>
    <row r="65" spans="2:10" x14ac:dyDescent="0.25">
      <c r="B65" t="s">
        <v>102</v>
      </c>
      <c r="C65" s="19">
        <v>0</v>
      </c>
      <c r="D65" s="9">
        <f>D63+D64</f>
        <v>0</v>
      </c>
      <c r="E65" s="9">
        <f>E63+E64</f>
        <v>0</v>
      </c>
      <c r="F65" s="9">
        <f>F63+F64</f>
        <v>0</v>
      </c>
      <c r="G65" s="9">
        <f>G63+G64</f>
        <v>0</v>
      </c>
      <c r="H65" s="9">
        <f>H63+H64</f>
        <v>0</v>
      </c>
      <c r="J65" s="6" t="s">
        <v>103</v>
      </c>
    </row>
    <row r="66" spans="2:10" x14ac:dyDescent="0.25">
      <c r="B66" s="15" t="s">
        <v>104</v>
      </c>
      <c r="C66" s="16">
        <f>C56+C60</f>
        <v>54</v>
      </c>
      <c r="D66" s="16">
        <f>D56+D60</f>
        <v>49.988500000000002</v>
      </c>
      <c r="E66" s="16">
        <f>E56+E60</f>
        <v>44.840266875000005</v>
      </c>
      <c r="F66" s="16">
        <f>F56+F60</f>
        <v>38.400555688281251</v>
      </c>
      <c r="G66" s="16">
        <f>G56+G60</f>
        <v>30.592993329409179</v>
      </c>
      <c r="H66" s="16">
        <f>H56+H60</f>
        <v>21.261362424359014</v>
      </c>
    </row>
    <row r="67" spans="2:10" x14ac:dyDescent="0.25">
      <c r="B67" t="s">
        <v>105</v>
      </c>
      <c r="C67" s="9">
        <f>C66-C65</f>
        <v>54</v>
      </c>
      <c r="D67" s="9">
        <f>D66-D65</f>
        <v>49.988500000000002</v>
      </c>
      <c r="E67" s="9">
        <f>E66-E65</f>
        <v>44.840266875000005</v>
      </c>
      <c r="F67" s="9">
        <f>F66-F65</f>
        <v>38.400555688281251</v>
      </c>
      <c r="G67" s="9">
        <f>G66-G65</f>
        <v>30.592993329409179</v>
      </c>
      <c r="H67" s="9">
        <f>H66-H65</f>
        <v>21.261362424359014</v>
      </c>
    </row>
    <row r="68" spans="2:10" x14ac:dyDescent="0.25">
      <c r="B68" t="s">
        <v>106</v>
      </c>
      <c r="C68" s="24">
        <f>C67/C35</f>
        <v>4.5</v>
      </c>
      <c r="D68" s="24">
        <f>D67/D35</f>
        <v>3.7675987337955985</v>
      </c>
      <c r="E68" s="24">
        <f>E67/E35</f>
        <v>3.0597832558383917</v>
      </c>
      <c r="F68" s="24">
        <f>F67/F35</f>
        <v>2.3971221073011018</v>
      </c>
      <c r="G68" s="24">
        <f>G67/G35</f>
        <v>1.7486535654638187</v>
      </c>
      <c r="H68" s="24">
        <f>H67/H35</f>
        <v>1.1243317372299424</v>
      </c>
      <c r="J68" s="6" t="s">
        <v>107</v>
      </c>
    </row>
    <row r="70" spans="2:10" x14ac:dyDescent="0.25">
      <c r="B70" s="8" t="s">
        <v>108</v>
      </c>
      <c r="C70" s="8"/>
      <c r="D70" s="8"/>
    </row>
    <row r="71" spans="2:10" x14ac:dyDescent="0.25">
      <c r="B71" t="s">
        <v>109</v>
      </c>
      <c r="C71" s="9">
        <f>H35</f>
        <v>18.910221708000005</v>
      </c>
    </row>
    <row r="72" spans="2:10" x14ac:dyDescent="0.25">
      <c r="B72" t="s">
        <v>110</v>
      </c>
      <c r="C72" s="24">
        <f>C17</f>
        <v>7.5</v>
      </c>
    </row>
    <row r="73" spans="2:10" x14ac:dyDescent="0.25">
      <c r="B73" t="s">
        <v>111</v>
      </c>
      <c r="C73" s="9">
        <f>C71*C72</f>
        <v>141.82666281000004</v>
      </c>
    </row>
    <row r="74" spans="2:10" x14ac:dyDescent="0.25">
      <c r="B74" t="s">
        <v>112</v>
      </c>
      <c r="C74" s="9">
        <f>-H67</f>
        <v>-21.261362424359014</v>
      </c>
    </row>
    <row r="75" spans="2:10" x14ac:dyDescent="0.25">
      <c r="B75" s="15" t="s">
        <v>113</v>
      </c>
      <c r="C75" s="16">
        <f>C73+C74</f>
        <v>120.56530038564102</v>
      </c>
    </row>
    <row r="76" spans="2:10" x14ac:dyDescent="0.25">
      <c r="B76" t="s">
        <v>114</v>
      </c>
      <c r="C76" s="9">
        <f>C23</f>
        <v>37.799999999999997</v>
      </c>
    </row>
    <row r="77" spans="2:10" x14ac:dyDescent="0.25">
      <c r="B77" s="25" t="s">
        <v>115</v>
      </c>
      <c r="C77" s="26">
        <f>C75/C76</f>
        <v>3.1895582112603447</v>
      </c>
    </row>
    <row r="78" spans="2:10" x14ac:dyDescent="0.25">
      <c r="B78" s="25" t="s">
        <v>116</v>
      </c>
      <c r="C78" s="27">
        <f>C77^(1/5)-1</f>
        <v>0.26109007153485742</v>
      </c>
      <c r="J78" s="6" t="s">
        <v>117</v>
      </c>
    </row>
    <row r="80" spans="2:10" x14ac:dyDescent="0.25">
      <c r="B80" s="8" t="s">
        <v>118</v>
      </c>
      <c r="C80" s="13" t="s">
        <v>62</v>
      </c>
      <c r="D80" s="13" t="s">
        <v>63</v>
      </c>
      <c r="E80" s="13" t="s">
        <v>64</v>
      </c>
      <c r="F80" s="13" t="s">
        <v>65</v>
      </c>
      <c r="G80" s="13" t="s">
        <v>66</v>
      </c>
      <c r="H80" s="13" t="s">
        <v>67</v>
      </c>
    </row>
    <row r="81" spans="2:10" x14ac:dyDescent="0.25">
      <c r="B81" t="s">
        <v>119</v>
      </c>
      <c r="C81" s="9">
        <f>-C23</f>
        <v>-37.799999999999997</v>
      </c>
      <c r="D81" s="9">
        <v>0</v>
      </c>
      <c r="E81" s="9">
        <v>0</v>
      </c>
      <c r="F81" s="9">
        <v>0</v>
      </c>
      <c r="G81" s="9">
        <v>0</v>
      </c>
      <c r="H81" s="9">
        <f>C75</f>
        <v>120.56530038564102</v>
      </c>
    </row>
    <row r="82" spans="2:10" x14ac:dyDescent="0.25">
      <c r="B82" s="3" t="s">
        <v>120</v>
      </c>
      <c r="C82" s="17">
        <f>IRR(C81:H81)</f>
        <v>0.2610900715346629</v>
      </c>
      <c r="J82" s="6" t="s">
        <v>121</v>
      </c>
    </row>
    <row r="84" spans="2:10" x14ac:dyDescent="0.25">
      <c r="B84" s="8" t="s">
        <v>122</v>
      </c>
      <c r="C84" s="13" t="s">
        <v>50</v>
      </c>
      <c r="D84" s="13" t="s">
        <v>123</v>
      </c>
    </row>
    <row r="85" spans="2:10" x14ac:dyDescent="0.25">
      <c r="B85" t="s">
        <v>124</v>
      </c>
      <c r="C85" s="9">
        <f>(H35-C35)*C7</f>
        <v>51.826662810000037</v>
      </c>
      <c r="D85" s="14">
        <f>C85/C$90</f>
        <v>0.62618830075546317</v>
      </c>
    </row>
    <row r="86" spans="2:10" x14ac:dyDescent="0.25">
      <c r="B86" t="s">
        <v>125</v>
      </c>
      <c r="C86" s="9">
        <f>(C17-C7)*H35</f>
        <v>0</v>
      </c>
      <c r="D86" s="14">
        <f>C86/C$90</f>
        <v>0</v>
      </c>
    </row>
    <row r="87" spans="2:10" x14ac:dyDescent="0.25">
      <c r="B87" t="s">
        <v>126</v>
      </c>
      <c r="C87" s="9">
        <f>(C21+C22-C65)-H67</f>
        <v>32.738637575640986</v>
      </c>
      <c r="D87" s="14">
        <f>C87/C$90</f>
        <v>0.39555994387861632</v>
      </c>
    </row>
    <row r="88" spans="2:10" x14ac:dyDescent="0.25">
      <c r="B88" t="s">
        <v>127</v>
      </c>
      <c r="C88" s="9">
        <f>-C10</f>
        <v>-1.8</v>
      </c>
      <c r="D88" s="14">
        <f>C88/C$90</f>
        <v>-2.1748244634079556E-2</v>
      </c>
    </row>
    <row r="90" spans="2:10" x14ac:dyDescent="0.25">
      <c r="B90" s="15" t="s">
        <v>128</v>
      </c>
      <c r="C90" s="16">
        <f>SUM(C85:C88)</f>
        <v>82.765300385641027</v>
      </c>
      <c r="D90" s="18">
        <f>SUM(D85:D88)</f>
        <v>1</v>
      </c>
    </row>
    <row r="91" spans="2:10" x14ac:dyDescent="0.25">
      <c r="B91" s="28" t="s">
        <v>129</v>
      </c>
      <c r="C91" s="29">
        <f>ROUND(C90-(C75-C76),3)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LBO</vt:lpstr>
    </vt:vector>
  </TitlesOfParts>
  <Company>LBO Reps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LBO Reps</dc:creator>
  <cp:lastModifiedBy>LBO Reps</cp:lastModifiedBy>
  <dcterms:created xsi:type="dcterms:W3CDTF">2026-11-01T01:07:31Z</dcterms:created>
  <dcterms:modified xsi:type="dcterms:W3CDTF">2026-11-01T01:07:35Z</dcterms:modified>
</cp:coreProperties>
</file>